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_Living_Room_Singles" sheetId="2" r:id="rId5"/>
    <sheet state="visible" name="3_Bathroom_Singles" sheetId="3" r:id="rId6"/>
    <sheet state="visible" name="4_Bedroom_Singles" sheetId="4" r:id="rId7"/>
    <sheet state="visible" name="5_Classroom_and_Library_Singles" sheetId="5" r:id="rId8"/>
    <sheet state="visible" name="6_Music_and_Sport" sheetId="6" r:id="rId9"/>
    <sheet state="visible" name="7_Art_Singles" sheetId="7" r:id="rId10"/>
    <sheet state="visible" name="8_Gym_Singles" sheetId="8" r:id="rId11"/>
    <sheet state="visible" name="9_Fishing_Singles" sheetId="9" r:id="rId12"/>
    <sheet state="visible" name="10_Birthday_Party_Singles" sheetId="10" r:id="rId13"/>
    <sheet state="visible" name="11_Halloween_Singles" sheetId="11" r:id="rId14"/>
    <sheet state="visible" name="12_Kitchen_Singles" sheetId="12" r:id="rId15"/>
    <sheet state="visible" name="13_Conference_Hall_Singles" sheetId="13" r:id="rId16"/>
    <sheet state="visible" name="14_Basement_Singles" sheetId="14" r:id="rId17"/>
    <sheet state="visible" name="15_Christmas_Singles" sheetId="15" r:id="rId18"/>
    <sheet state="visible" name="16_Grocery_Store_Singles" sheetId="16" r:id="rId19"/>
    <sheet state="visible" name="18_Jail_Singles" sheetId="17" r:id="rId20"/>
    <sheet state="visible" name="19_Hospital_SIngles" sheetId="18" r:id="rId21"/>
    <sheet state="visible" name="20_Japanese_Interiors_Singles" sheetId="19" r:id="rId22"/>
    <sheet state="visible" name="21_Clothing_Store_Singles" sheetId="20" r:id="rId23"/>
    <sheet state="visible" name="22_Museum_Singles" sheetId="21" r:id="rId24"/>
    <sheet state="visible" name="23_Television_and_Film_Studio_S" sheetId="22" r:id="rId25"/>
    <sheet state="visible" name="24_Ice_Cream_Shop_Singles" sheetId="23" r:id="rId26"/>
    <sheet state="visible" name="25_Shooting_Range_Singles" sheetId="24" r:id="rId27"/>
    <sheet state="visible" name="26_Condominium_Singles" sheetId="25" r:id="rId28"/>
  </sheets>
  <definedNames/>
  <calcPr/>
  <extLst>
    <ext uri="GoogleSheetsCustomDataVersion2">
      <go:sheetsCustomData xmlns:go="http://customooxmlschemas.google.com/" r:id="rId29" roundtripDataChecksum="Y0GyMXLv9sSZGaXSB/SDQ0WNWU8lU6jkNk9f4gAHa2o="/>
    </ext>
  </extLst>
</workbook>
</file>

<file path=xl/sharedStrings.xml><?xml version="1.0" encoding="utf-8"?>
<sst xmlns="http://schemas.openxmlformats.org/spreadsheetml/2006/main" count="6512" uniqueCount="5843">
  <si>
    <t>Folder</t>
  </si>
  <si>
    <t>Progress</t>
  </si>
  <si>
    <t>2_Living_Room_Singles</t>
  </si>
  <si>
    <t>3_Bathroom_Singles</t>
  </si>
  <si>
    <t>4_Bedroom_Singles</t>
  </si>
  <si>
    <t>5_Classroom_and_Library_Singles</t>
  </si>
  <si>
    <t>6_Music_and_Sport</t>
  </si>
  <si>
    <t>7_Art_Singles</t>
  </si>
  <si>
    <t>8_Gym_Singles</t>
  </si>
  <si>
    <t>9_Fishing_Singles</t>
  </si>
  <si>
    <t>10_Birthday_Party_Singles</t>
  </si>
  <si>
    <t>11_Halloween_Singles</t>
  </si>
  <si>
    <t>12_Kitchen_Singles</t>
  </si>
  <si>
    <t>13_Conference_Hall_Singles</t>
  </si>
  <si>
    <t>14_Basement_Singles</t>
  </si>
  <si>
    <t>15_Christmas_Singles</t>
  </si>
  <si>
    <t>16_Grocery_Store_Singles</t>
  </si>
  <si>
    <t>18_Jail_Singles</t>
  </si>
  <si>
    <t>19_Hospital_SIngles</t>
  </si>
  <si>
    <t>20_Japanese_Interiors_Singles</t>
  </si>
  <si>
    <t>21_Clothing_Store_Singles</t>
  </si>
  <si>
    <t>22_Museum_Singles</t>
  </si>
  <si>
    <t>23_Television_and_Film_Studio_S</t>
  </si>
  <si>
    <t>24_Ice_Cream_Shop_Singles</t>
  </si>
  <si>
    <t>25_Shooting_Range_Singles</t>
  </si>
  <si>
    <t>26_Condominium_Singles</t>
  </si>
  <si>
    <t>Total</t>
  </si>
  <si>
    <t>Living_Room_Singles_1.png</t>
  </si>
  <si>
    <t>cabinet</t>
  </si>
  <si>
    <t>Living_Room_Singles_2.png</t>
  </si>
  <si>
    <t>table, small</t>
  </si>
  <si>
    <t>Living_Room_Singles_3.png</t>
  </si>
  <si>
    <t>table, horizontal, front</t>
  </si>
  <si>
    <t>Living_Room_Singles_4.png</t>
  </si>
  <si>
    <t>table, large</t>
  </si>
  <si>
    <t>Living_Room_Singles_5.png</t>
  </si>
  <si>
    <t>table, vertical</t>
  </si>
  <si>
    <t>Living_Room_Singles_6.png</t>
  </si>
  <si>
    <t>table, horizontal, back</t>
  </si>
  <si>
    <t>Living_Room_Singles_7.png</t>
  </si>
  <si>
    <t>end table</t>
  </si>
  <si>
    <t>Living_Room_Singles_8.png</t>
  </si>
  <si>
    <t>stool</t>
  </si>
  <si>
    <t>Living_Room_Singles_9.png</t>
  </si>
  <si>
    <t>table, large, left</t>
  </si>
  <si>
    <t>Living_Room_Singles_10.png</t>
  </si>
  <si>
    <t>table, large, middle</t>
  </si>
  <si>
    <t>Living_Room_Singles_11.png</t>
  </si>
  <si>
    <t>table, large, right</t>
  </si>
  <si>
    <t>Living_Room_Singles_12.png</t>
  </si>
  <si>
    <t>decoration, hanging lights</t>
  </si>
  <si>
    <t>Living_Room_Singles_13.png</t>
  </si>
  <si>
    <t>plant, large, plantpot, ficus</t>
  </si>
  <si>
    <t>Living_Room_Singles_14.png</t>
  </si>
  <si>
    <t>plant, large, plantpot, yucca</t>
  </si>
  <si>
    <t>Living_Room_Singles_15.png</t>
  </si>
  <si>
    <t>plant, small, plantpot</t>
  </si>
  <si>
    <t>Living_Room_Singles_16.png</t>
  </si>
  <si>
    <t>plant, medium, plantpot, strelitzia</t>
  </si>
  <si>
    <t>Living_Room_Singles_17.png</t>
  </si>
  <si>
    <t>plant, large, plantpot, strelitzia</t>
  </si>
  <si>
    <t>Living_Room_Singles_18.png</t>
  </si>
  <si>
    <t>Living_Room_Singles_19.png</t>
  </si>
  <si>
    <t>dressing table, vanity</t>
  </si>
  <si>
    <t>Living_Room_Singles_20.png</t>
  </si>
  <si>
    <t>dressing table, vanity, makeup</t>
  </si>
  <si>
    <t>Living_Room_Singles_21.png</t>
  </si>
  <si>
    <t>Living_Room_Singles_22.png</t>
  </si>
  <si>
    <t>Living_Room_Singles_23.png</t>
  </si>
  <si>
    <t>Living_Room_Singles_24.png</t>
  </si>
  <si>
    <t>dressing table, vanity, makeup, notepad</t>
  </si>
  <si>
    <t>Living_Room_Singles_25.png</t>
  </si>
  <si>
    <t>dessing table, vanity, book</t>
  </si>
  <si>
    <t>Living_Room_Singles_26.png</t>
  </si>
  <si>
    <t>dessing table, vanity, book, makeup, notepad</t>
  </si>
  <si>
    <t>Living_Room_Singles_27.png</t>
  </si>
  <si>
    <t>vanity mirror</t>
  </si>
  <si>
    <t>Living_Room_Singles_28.png</t>
  </si>
  <si>
    <t>makeup</t>
  </si>
  <si>
    <t>Living_Room_Singles_29.png</t>
  </si>
  <si>
    <t>coffee table</t>
  </si>
  <si>
    <t>Living_Room_Singles_30.png</t>
  </si>
  <si>
    <t>coffee table, vanity mirror</t>
  </si>
  <si>
    <t>Living_Room_Singles_31.png</t>
  </si>
  <si>
    <t>coffee table, books</t>
  </si>
  <si>
    <t>Living_Room_Singles_32.png</t>
  </si>
  <si>
    <t>coffee table, vanity mirror, books</t>
  </si>
  <si>
    <t>Living_Room_Singles_33.png</t>
  </si>
  <si>
    <t>Living_Room_Singles_34.png</t>
  </si>
  <si>
    <t>Living_Room_Singles_35.png</t>
  </si>
  <si>
    <t>Living_Room_Singles_36.png</t>
  </si>
  <si>
    <t>Living_Room_Singles_37.png</t>
  </si>
  <si>
    <t>Living_Room_Singles_38.png</t>
  </si>
  <si>
    <t>cabinet, mirror</t>
  </si>
  <si>
    <t>Living_Room_Singles_39.png</t>
  </si>
  <si>
    <t>Living_Room_Singles_40.png</t>
  </si>
  <si>
    <t>Living_Room_Singles_41.png</t>
  </si>
  <si>
    <t>cabinet, left</t>
  </si>
  <si>
    <t>Living_Room_Singles_42.png</t>
  </si>
  <si>
    <t>cabinet, mirror, middle</t>
  </si>
  <si>
    <t>Living_Room_Singles_43.png</t>
  </si>
  <si>
    <t>cabinet, middle</t>
  </si>
  <si>
    <t>Living_Room_Singles_44.png</t>
  </si>
  <si>
    <t>cabinet, right</t>
  </si>
  <si>
    <t>Living_Room_Singles_45.png</t>
  </si>
  <si>
    <t>Living_Room_Singles_46.png</t>
  </si>
  <si>
    <t>end table, mirror</t>
  </si>
  <si>
    <t>Living_Room_Singles_47.png</t>
  </si>
  <si>
    <t>end table, plant</t>
  </si>
  <si>
    <t>Living_Room_Singles_48.png</t>
  </si>
  <si>
    <t>fruit bowl</t>
  </si>
  <si>
    <t>Living_Room_Singles_49.png</t>
  </si>
  <si>
    <t>Living_Room_Singles_50.png</t>
  </si>
  <si>
    <t>Living_Room_Singles_51.png</t>
  </si>
  <si>
    <t>short dresser, light tabletop</t>
  </si>
  <si>
    <t>Living_Room_Singles_52.png</t>
  </si>
  <si>
    <t>short dresser, light tabletop, fruit bowl, notepad</t>
  </si>
  <si>
    <t>Living_Room_Singles_53.png</t>
  </si>
  <si>
    <t>wide short dresser, light tabletop</t>
  </si>
  <si>
    <t>Living_Room_Singles_54.png</t>
  </si>
  <si>
    <t>wide short dresser, mirror, books, light tabletop</t>
  </si>
  <si>
    <t>Living_Room_Singles_55.png</t>
  </si>
  <si>
    <t>short dresser, dark tabletop</t>
  </si>
  <si>
    <t>Living_Room_Singles_56.png</t>
  </si>
  <si>
    <t>short dresser, dark tabletop, fruit, notepad, book</t>
  </si>
  <si>
    <t>Living_Room_Singles_57.png</t>
  </si>
  <si>
    <t>wide short dresser, dark tabletop</t>
  </si>
  <si>
    <t>Living_Room_Singles_58.png</t>
  </si>
  <si>
    <t>wide short dresser, dark tabletop, mirror, fruit bowl</t>
  </si>
  <si>
    <t>Living_Room_Singles_59.png</t>
  </si>
  <si>
    <t>wide short dresser, dark tabletop, books</t>
  </si>
  <si>
    <t>Living_Room_Singles_60.png</t>
  </si>
  <si>
    <t>wide short dresser, dark tabletop, mirror, books</t>
  </si>
  <si>
    <t>Living_Room_Singles_61.png</t>
  </si>
  <si>
    <t>wide short dresser, dark tabletop, fruit bowl</t>
  </si>
  <si>
    <t>Living_Room_Singles_62.png</t>
  </si>
  <si>
    <t>Living_Room_Singles_63.png</t>
  </si>
  <si>
    <t>nightstand</t>
  </si>
  <si>
    <t>Living_Room_Singles_64.png</t>
  </si>
  <si>
    <t>nightstand, fruit bowl</t>
  </si>
  <si>
    <t>Living_Room_Singles_65.png</t>
  </si>
  <si>
    <t>Living_Room_Singles_66.png</t>
  </si>
  <si>
    <t>Living_Room_Singles_67.png</t>
  </si>
  <si>
    <t>Living_Room_Singles_68.png</t>
  </si>
  <si>
    <t>Living_Room_Singles_69.png</t>
  </si>
  <si>
    <t>Living_Room_Singles_70.png</t>
  </si>
  <si>
    <t>short dresser</t>
  </si>
  <si>
    <t>Living_Room_Singles_71.png</t>
  </si>
  <si>
    <t>table lamp, tapered, red</t>
  </si>
  <si>
    <t>Living_Room_Singles_72.png</t>
  </si>
  <si>
    <t>table lamp, tapered, white</t>
  </si>
  <si>
    <t>Living_Room_Singles_73.png</t>
  </si>
  <si>
    <t>table lamp, tapered, blue</t>
  </si>
  <si>
    <t>Living_Room_Singles_74.png</t>
  </si>
  <si>
    <t>table lamp, drum, white</t>
  </si>
  <si>
    <t>Living_Room_Singles_75.png</t>
  </si>
  <si>
    <t>Living_Room_Singles_76.png</t>
  </si>
  <si>
    <t>Living_Room_Singles_77.png</t>
  </si>
  <si>
    <t>Living_Room_Singles_78.png</t>
  </si>
  <si>
    <t>Living_Room_Singles_79.png</t>
  </si>
  <si>
    <t>floor lamp, tapered, blue</t>
  </si>
  <si>
    <t>Living_Room_Singles_80.png</t>
  </si>
  <si>
    <t>Living_Room_Singles_81.png</t>
  </si>
  <si>
    <t>floor lamp, tapered, red</t>
  </si>
  <si>
    <t>Living_Room_Singles_82.png</t>
  </si>
  <si>
    <t>Living_Room_Singles_83.png</t>
  </si>
  <si>
    <t>Living_Room_Singles_84.png</t>
  </si>
  <si>
    <t>Living_Room_Singles_85.png</t>
  </si>
  <si>
    <t>Living_Room_Singles_86.png</t>
  </si>
  <si>
    <t>Living_Room_Singles_87.png</t>
  </si>
  <si>
    <t>floor lamp, drum, white</t>
  </si>
  <si>
    <t>Living_Room_Singles_88.png</t>
  </si>
  <si>
    <t>Living_Room_Singles_89.png</t>
  </si>
  <si>
    <t>glass showcase, narrow</t>
  </si>
  <si>
    <t>Living_Room_Singles_90.png</t>
  </si>
  <si>
    <t>Living_Room_Singles_91.png</t>
  </si>
  <si>
    <t>glass showcase, wide</t>
  </si>
  <si>
    <t>Living_Room_Singles_92.png</t>
  </si>
  <si>
    <t>chair, front</t>
  </si>
  <si>
    <t>Living_Room_Singles_93.png</t>
  </si>
  <si>
    <t>Living_Room_Singles_94.png</t>
  </si>
  <si>
    <t>chair, front, broken</t>
  </si>
  <si>
    <t>Living_Room_Singles_95.png</t>
  </si>
  <si>
    <t>short dresser, broken</t>
  </si>
  <si>
    <t>Living_Room_Singles_96.png</t>
  </si>
  <si>
    <t>broken nightstand</t>
  </si>
  <si>
    <t>Living_Room_Singles_97.png</t>
  </si>
  <si>
    <t>fallen drawer, empty</t>
  </si>
  <si>
    <t>Living_Room_Singles_98.png</t>
  </si>
  <si>
    <t>fallen drawer, clothes</t>
  </si>
  <si>
    <t>Living_Room_Singles_99.png</t>
  </si>
  <si>
    <t>Living_Room_Singles_100.png</t>
  </si>
  <si>
    <t>Living_Room_Singles_101.png</t>
  </si>
  <si>
    <t>short dresser, broken, clothes</t>
  </si>
  <si>
    <t>Living_Room_Singles_102.png</t>
  </si>
  <si>
    <t>short cabinet, glass, broken</t>
  </si>
  <si>
    <t>Living_Room_Singles_103.png</t>
  </si>
  <si>
    <t>tall dresser, broken</t>
  </si>
  <si>
    <t>Living_Room_Singles_104.png</t>
  </si>
  <si>
    <t>broken lamp, light wood</t>
  </si>
  <si>
    <t>Living_Room_Singles_105.png</t>
  </si>
  <si>
    <t>broken lamp, dark wood</t>
  </si>
  <si>
    <t>Living_Room_Singles_106.png</t>
  </si>
  <si>
    <t>rotten fruits, fruit bowl</t>
  </si>
  <si>
    <t>Living_Room_Singles_107.png</t>
  </si>
  <si>
    <t>fireplace</t>
  </si>
  <si>
    <t>Living_Room_Singles_108.png</t>
  </si>
  <si>
    <t>Living_Room_Singles_109.png</t>
  </si>
  <si>
    <t>Living_Room_Singles_110.png</t>
  </si>
  <si>
    <t>Living_Room_Singles_111.png</t>
  </si>
  <si>
    <t>Living_Room_Singles_112.png</t>
  </si>
  <si>
    <t>Living_Room_Singles_113.png</t>
  </si>
  <si>
    <t>Living_Room_Singles_114.png</t>
  </si>
  <si>
    <t>Living_Room_Singles_115.png</t>
  </si>
  <si>
    <t>short wood storage, empty</t>
  </si>
  <si>
    <t>Living_Room_Singles_116.png</t>
  </si>
  <si>
    <t>short wood storage, full, brown wood</t>
  </si>
  <si>
    <t>Living_Room_Singles_117.png</t>
  </si>
  <si>
    <t>short wood storage, full, dark wood</t>
  </si>
  <si>
    <t>Living_Room_Singles_118.png</t>
  </si>
  <si>
    <t>short wood storage, full, light wood</t>
  </si>
  <si>
    <t>Living_Room_Singles_119.png</t>
  </si>
  <si>
    <t>tall wood storage, empty</t>
  </si>
  <si>
    <t>Living_Room_Singles_120.png</t>
  </si>
  <si>
    <t>tall wood storage, full, dark wood</t>
  </si>
  <si>
    <t>Living_Room_Singles_121.png</t>
  </si>
  <si>
    <t>tall wood storage, full, brown wood</t>
  </si>
  <si>
    <t>Living_Room_Singles_122.png</t>
  </si>
  <si>
    <t>tall wood storage, full, light wood</t>
  </si>
  <si>
    <t>Bathroom_Singles_1.png</t>
  </si>
  <si>
    <t>bathroom cabinet</t>
  </si>
  <si>
    <t>Bathroom_Singles_2.png</t>
  </si>
  <si>
    <t>bathroom cabinet, sink, green soap</t>
  </si>
  <si>
    <t>Bathroom_Singles_3.png</t>
  </si>
  <si>
    <t>bathroom cabinet, sink, pink soap</t>
  </si>
  <si>
    <t>Bathroom_Singles_4.png</t>
  </si>
  <si>
    <t>bathroom cabinet, sink, yellow soap</t>
  </si>
  <si>
    <t>Bathroom_Singles_5.png</t>
  </si>
  <si>
    <t>bathroom cabinet, sink, green soap, mirror</t>
  </si>
  <si>
    <t>Bathroom_Singles_6.png</t>
  </si>
  <si>
    <t>bathroom cabinet, sink, pink soap, mirror</t>
  </si>
  <si>
    <t>Bathroom_Singles_7.png</t>
  </si>
  <si>
    <t>bathroom cabinet, sink, yellow soap, mirror</t>
  </si>
  <si>
    <t>Bathroom_Singles_8.png</t>
  </si>
  <si>
    <t>Bathroom_Singles_9.png</t>
  </si>
  <si>
    <t>Bathroom_Singles_10.png</t>
  </si>
  <si>
    <t>Bathroom_Singles_11.png</t>
  </si>
  <si>
    <t>Bathroom_Singles_12.png</t>
  </si>
  <si>
    <t>Bathroom_Singles_13.png</t>
  </si>
  <si>
    <t>Bathroom_Singles_14.png</t>
  </si>
  <si>
    <t>Bathroom_Singles_15.png</t>
  </si>
  <si>
    <t>bathroom cabinet, sink, top, occluded</t>
  </si>
  <si>
    <t>Bathroom_Singles_16.png</t>
  </si>
  <si>
    <t>Bathroom_Singles_17.png</t>
  </si>
  <si>
    <t>Bathroom_Singles_18.png</t>
  </si>
  <si>
    <t>Bathroom_Singles_19.png</t>
  </si>
  <si>
    <t>Bathroom_Singles_20.png</t>
  </si>
  <si>
    <t>Bathroom_Singles_21.png</t>
  </si>
  <si>
    <t>toilet, open lid, yellow</t>
  </si>
  <si>
    <t>Bathroom_Singles_22.png</t>
  </si>
  <si>
    <t>toilet, closed lid, yellow</t>
  </si>
  <si>
    <t>Bathroom_Singles_23.png</t>
  </si>
  <si>
    <t>toilet, open lid, sand</t>
  </si>
  <si>
    <t>Bathroom_Singles_24.png</t>
  </si>
  <si>
    <t>toilet, closed lid, sand</t>
  </si>
  <si>
    <t>Bathroom_Singles_25.png</t>
  </si>
  <si>
    <t>toilet, open lid, avocado green</t>
  </si>
  <si>
    <t>Bathroom_Singles_26.png</t>
  </si>
  <si>
    <t>toilet, closed lid, avocado green</t>
  </si>
  <si>
    <t>Bathroom_Singles_27.png</t>
  </si>
  <si>
    <t>toilet, open lid, light blue</t>
  </si>
  <si>
    <t>Bathroom_Singles_28.png</t>
  </si>
  <si>
    <t>toilet, closed lid, light blue</t>
  </si>
  <si>
    <t>Bathroom_Singles_29.png</t>
  </si>
  <si>
    <t>toilet, open lid, purple</t>
  </si>
  <si>
    <t>Bathroom_Singles_30.png</t>
  </si>
  <si>
    <t>toilet, closed lid, purple</t>
  </si>
  <si>
    <t>Bathroom_Singles_31.png</t>
  </si>
  <si>
    <t>toilet, open lid, white</t>
  </si>
  <si>
    <t>Bathroom_Singles_32.png</t>
  </si>
  <si>
    <t>toilet, closed lid, white</t>
  </si>
  <si>
    <t>Bathroom_Singles_33.png</t>
  </si>
  <si>
    <t>toilet paper, empty</t>
  </si>
  <si>
    <t>Bathroom_Singles_34.png</t>
  </si>
  <si>
    <t>toilet paper</t>
  </si>
  <si>
    <t>Bathroom_Singles_35.png</t>
  </si>
  <si>
    <t>toilet, open lid, yellow, smudge</t>
  </si>
  <si>
    <t>Bathroom_Singles_36.png</t>
  </si>
  <si>
    <t>toilet, open lid, yellow, dirty</t>
  </si>
  <si>
    <t>Bathroom_Singles_37.png</t>
  </si>
  <si>
    <t>toilet, closed lid, yellow, dirty</t>
  </si>
  <si>
    <t>Bathroom_Singles_38.png</t>
  </si>
  <si>
    <t>toilet, open lid, sand, smudge</t>
  </si>
  <si>
    <t>Bathroom_Singles_39.png</t>
  </si>
  <si>
    <t>toilet, open lid, sand, dirty</t>
  </si>
  <si>
    <t>Bathroom_Singles_40.png</t>
  </si>
  <si>
    <t>toilet, closed lid, sand, dirty</t>
  </si>
  <si>
    <t>Bathroom_Singles_41.png</t>
  </si>
  <si>
    <t>toilet, open lid, avocado green, smudge</t>
  </si>
  <si>
    <t>Bathroom_Singles_42.png</t>
  </si>
  <si>
    <t>toilet, open lid, avocado green, dirty</t>
  </si>
  <si>
    <t>Bathroom_Singles_43.png</t>
  </si>
  <si>
    <t>toilet, closed lid, avocado green, dirty</t>
  </si>
  <si>
    <t>Bathroom_Singles_44.png</t>
  </si>
  <si>
    <t>toilet, open lid, light blue, smudge</t>
  </si>
  <si>
    <t>Bathroom_Singles_45.png</t>
  </si>
  <si>
    <t>toilet, open lid, light blue, dirty</t>
  </si>
  <si>
    <t>Bathroom_Singles_46.png</t>
  </si>
  <si>
    <t>toilet, closed lid, light blue, dirty</t>
  </si>
  <si>
    <t>Bathroom_Singles_47.png</t>
  </si>
  <si>
    <t>toilet, open lid, purple, smudge</t>
  </si>
  <si>
    <t>Bathroom_Singles_48.png</t>
  </si>
  <si>
    <t>toilet, open lid, purple, dirty</t>
  </si>
  <si>
    <t>Bathroom_Singles_49.png</t>
  </si>
  <si>
    <t>toilet, closed lid, purple, dirty</t>
  </si>
  <si>
    <t>Bathroom_Singles_50.png</t>
  </si>
  <si>
    <t>toilet, open lid, white, smudge</t>
  </si>
  <si>
    <t>Bathroom_Singles_51.png</t>
  </si>
  <si>
    <t>toilet, open lid, white, dirty</t>
  </si>
  <si>
    <t>Bathroom_Singles_52.png</t>
  </si>
  <si>
    <t>toilet, closed lid, white, dirty</t>
  </si>
  <si>
    <t>Bathroom_Singles_53.png</t>
  </si>
  <si>
    <t>Bathroom_Singles_54.png</t>
  </si>
  <si>
    <t>Bathroom_Singles_55.png</t>
  </si>
  <si>
    <t>Bathroom_Singles_56.png</t>
  </si>
  <si>
    <t>toilet, broken</t>
  </si>
  <si>
    <t>Bathroom_Singles_57.png</t>
  </si>
  <si>
    <t>toilet, out of service</t>
  </si>
  <si>
    <t>Bathroom_Singles_58.png</t>
  </si>
  <si>
    <t>plunger</t>
  </si>
  <si>
    <t>Bathroom_Singles_59.png</t>
  </si>
  <si>
    <t>Bathroom_Singles_60.png</t>
  </si>
  <si>
    <t>toilet partition</t>
  </si>
  <si>
    <t>Bathroom_Singles_61.png</t>
  </si>
  <si>
    <t>Bathroom_Singles_62.png</t>
  </si>
  <si>
    <t>Bathroom_Singles_63.png</t>
  </si>
  <si>
    <t>Bathroom_Singles_64.png</t>
  </si>
  <si>
    <t>toilet partition, broken</t>
  </si>
  <si>
    <t>Bathroom_Singles_65.png</t>
  </si>
  <si>
    <t>Bathroom_Singles_66.png</t>
  </si>
  <si>
    <t>floor mirror</t>
  </si>
  <si>
    <t>Bathroom_Singles_67.png</t>
  </si>
  <si>
    <t>Bathroom_Singles_68.png</t>
  </si>
  <si>
    <t>Bathroom_Singles_69.png</t>
  </si>
  <si>
    <t>Bathroom_Singles_70.png</t>
  </si>
  <si>
    <t>floor mirror, broken</t>
  </si>
  <si>
    <t>Bathroom_Singles_71.png</t>
  </si>
  <si>
    <t>Bathroom_Singles_72.png</t>
  </si>
  <si>
    <t>Bathroom_Singles_73.png</t>
  </si>
  <si>
    <t>Bathroom_Singles_74.png</t>
  </si>
  <si>
    <t>carpet, white</t>
  </si>
  <si>
    <t>Bathroom_Singles_75.png</t>
  </si>
  <si>
    <t>carpet, blue, stripes</t>
  </si>
  <si>
    <t>Bathroom_Singles_76.png</t>
  </si>
  <si>
    <t>carpet, stripes, colors</t>
  </si>
  <si>
    <t>Bathroom_Singles_77.png</t>
  </si>
  <si>
    <t>carpet, plaid</t>
  </si>
  <si>
    <t>Bathroom_Singles_78.png</t>
  </si>
  <si>
    <t>carpet, plaid, small</t>
  </si>
  <si>
    <t>Bathroom_Singles_79.png</t>
  </si>
  <si>
    <t>carpet, stripes, small</t>
  </si>
  <si>
    <t>Bathroom_Singles_80.png</t>
  </si>
  <si>
    <t>carpet, plaid, bottom</t>
  </si>
  <si>
    <t>Bathroom_Singles_81.png</t>
  </si>
  <si>
    <t>carpet, plaid, top</t>
  </si>
  <si>
    <t>Bathroom_Singles_82.png</t>
  </si>
  <si>
    <t>shelf, empty</t>
  </si>
  <si>
    <t>Bathroom_Singles_83.png</t>
  </si>
  <si>
    <t>shelf, full</t>
  </si>
  <si>
    <t>Bathroom_Singles_84.png</t>
  </si>
  <si>
    <t>shelf, full, duck</t>
  </si>
  <si>
    <t>Bathroom_Singles_85.png</t>
  </si>
  <si>
    <t>shelf, empty, broken</t>
  </si>
  <si>
    <t>Bathroom_Singles_86.png</t>
  </si>
  <si>
    <t>shelf, full, broken</t>
  </si>
  <si>
    <t>Bathroom_Singles_87.png</t>
  </si>
  <si>
    <t>washing machine, large</t>
  </si>
  <si>
    <t>Bathroom_Singles_88.png</t>
  </si>
  <si>
    <t>washing machine, large, laundry basket</t>
  </si>
  <si>
    <t>Bathroom_Singles_89.png</t>
  </si>
  <si>
    <t>Bathroom_Singles_90.png</t>
  </si>
  <si>
    <t>washing machine, small</t>
  </si>
  <si>
    <t>Bathroom_Singles_91.png</t>
  </si>
  <si>
    <t>Bathroom_Singles_92.png</t>
  </si>
  <si>
    <t>washing machine, small, laundry basket</t>
  </si>
  <si>
    <t>Bathroom_Singles_93.png</t>
  </si>
  <si>
    <t>Bathroom_Singles_94.png</t>
  </si>
  <si>
    <t>Bathroom_Singles_95.png</t>
  </si>
  <si>
    <t>laundry basket, empty</t>
  </si>
  <si>
    <t>Bathroom_Singles_96.png</t>
  </si>
  <si>
    <t>laundry basket, full</t>
  </si>
  <si>
    <t>Bathroom_Singles_97.png</t>
  </si>
  <si>
    <t>Bathroom_Singles_98.png</t>
  </si>
  <si>
    <t>Bathroom_Singles_99.png</t>
  </si>
  <si>
    <t>laundry basket, top, empty, full</t>
  </si>
  <si>
    <t>Bathroom_Singles_100.png</t>
  </si>
  <si>
    <t>laundry basket, top, empty</t>
  </si>
  <si>
    <t>Bathroom_Singles_101.png</t>
  </si>
  <si>
    <t>bathroom stool</t>
  </si>
  <si>
    <t>Bathroom_Singles_102.png</t>
  </si>
  <si>
    <t>Bathroom_Singles_103.png</t>
  </si>
  <si>
    <t>Bathroom_Singles_104.png</t>
  </si>
  <si>
    <t>Bathroom_Singles_105.png</t>
  </si>
  <si>
    <t>Bathroom_Singles_106.png</t>
  </si>
  <si>
    <t>Bathroom_Singles_107.png</t>
  </si>
  <si>
    <t>Bathroom_Singles_108.png</t>
  </si>
  <si>
    <t>Bathroom_Singles_109.png</t>
  </si>
  <si>
    <t>towel, pile</t>
  </si>
  <si>
    <t>Bathroom_Singles_110.png</t>
  </si>
  <si>
    <t>bathroom bucket, empty</t>
  </si>
  <si>
    <t>Bathroom_Singles_111.png</t>
  </si>
  <si>
    <t>bathroom bucket, full</t>
  </si>
  <si>
    <t>Bathroom_Singles_112.png</t>
  </si>
  <si>
    <t>bathroom bucket, empty, blue</t>
  </si>
  <si>
    <t>Bathroom_Singles_113.png</t>
  </si>
  <si>
    <t>bathroom bucket, full, blue</t>
  </si>
  <si>
    <t>Bathroom_Singles_114.png</t>
  </si>
  <si>
    <t>bathroom bucket, empty, brown</t>
  </si>
  <si>
    <t>Bathroom_Singles_115.png</t>
  </si>
  <si>
    <t>bathroom bucket, full, brown</t>
  </si>
  <si>
    <t>Bathroom_Singles_116.png</t>
  </si>
  <si>
    <t>bathroom bucket, empty, green</t>
  </si>
  <si>
    <t>Bathroom_Singles_117.png</t>
  </si>
  <si>
    <t>bathroom bucket, full, green</t>
  </si>
  <si>
    <t>Bathroom_Singles_118.png</t>
  </si>
  <si>
    <t>bathroom bucket, empty, pink</t>
  </si>
  <si>
    <t>Bathroom_Singles_119.png</t>
  </si>
  <si>
    <t>bathroom bucket, full, pink</t>
  </si>
  <si>
    <t>Bathroom_Singles_120.png</t>
  </si>
  <si>
    <t>bathroom cabinet, blue</t>
  </si>
  <si>
    <t>Bathroom_Singles_121.png</t>
  </si>
  <si>
    <t>bathroom cabinet, blue, toilet paper</t>
  </si>
  <si>
    <t>Bathroom_Singles_122.png</t>
  </si>
  <si>
    <t>bathroom cabinet, blue, open</t>
  </si>
  <si>
    <t>Bathroom_Singles_123.png</t>
  </si>
  <si>
    <t>bathroom cabinet, blue, open, toilet paper</t>
  </si>
  <si>
    <t>Bathroom_Singles_124.png</t>
  </si>
  <si>
    <t>Bathroom_Singles_125.png</t>
  </si>
  <si>
    <t>Bathroom_Singles_126.png</t>
  </si>
  <si>
    <t>bathroom cabinet, gray</t>
  </si>
  <si>
    <t>Bathroom_Singles_127.png</t>
  </si>
  <si>
    <t>bathroom cabinet, gray, toilet paper</t>
  </si>
  <si>
    <t>Bathroom_Singles_128.png</t>
  </si>
  <si>
    <t>bathroom cabinet, gray, open</t>
  </si>
  <si>
    <t>Bathroom_Singles_129.png</t>
  </si>
  <si>
    <t>bathroom cabinet, gray, open, toilet paper</t>
  </si>
  <si>
    <t>Bathroom_Singles_130.png</t>
  </si>
  <si>
    <t>Bathroom_Singles_131.png</t>
  </si>
  <si>
    <t>Bathroom_Singles_132.png</t>
  </si>
  <si>
    <t>bathroom cabinet, white</t>
  </si>
  <si>
    <t>Bathroom_Singles_133.png</t>
  </si>
  <si>
    <t>bathroom cabinet, white, toilet paper</t>
  </si>
  <si>
    <t>Bathroom_Singles_134.png</t>
  </si>
  <si>
    <t>bathroom cabinet, white, open</t>
  </si>
  <si>
    <t>Bathroom_Singles_135.png</t>
  </si>
  <si>
    <t>bathroom cabinet, white, open, toilet paper</t>
  </si>
  <si>
    <t>Bathroom_Singles_136.png</t>
  </si>
  <si>
    <t>Bathroom_Singles_137.png</t>
  </si>
  <si>
    <t>Bathroom_Singles_138.png</t>
  </si>
  <si>
    <t>toilet paper, single roll</t>
  </si>
  <si>
    <t>Bathroom_Singles_139.png</t>
  </si>
  <si>
    <t>toilet paper, three rolls</t>
  </si>
  <si>
    <t>Bathroom_Singles_140.png</t>
  </si>
  <si>
    <t>toilet paper, many rolls, hoarding</t>
  </si>
  <si>
    <t>Bathroom_Singles_141.png</t>
  </si>
  <si>
    <t>soap holder</t>
  </si>
  <si>
    <t>Bathroom_Singles_142.png</t>
  </si>
  <si>
    <t>Bathroom_Singles_143.png</t>
  </si>
  <si>
    <t>soap holder, yellow</t>
  </si>
  <si>
    <t>Bathroom_Singles_144.png</t>
  </si>
  <si>
    <t>soap holder, green</t>
  </si>
  <si>
    <t>Bathroom_Singles_145.png</t>
  </si>
  <si>
    <t>soap holder, pink</t>
  </si>
  <si>
    <t>Bathroom_Singles_146.png</t>
  </si>
  <si>
    <t>soap holder, gray</t>
  </si>
  <si>
    <t>Bathroom_Singles_147.png</t>
  </si>
  <si>
    <t>soap holder, blue</t>
  </si>
  <si>
    <t>Bathroom_Singles_148.png</t>
  </si>
  <si>
    <t>Bathroom_Singles_149.png</t>
  </si>
  <si>
    <t>Bathroom_Singles_150.png</t>
  </si>
  <si>
    <t>Bathroom_Singles_151.png</t>
  </si>
  <si>
    <t>bathtub</t>
  </si>
  <si>
    <t>Bathroom_Singles_152.png</t>
  </si>
  <si>
    <t>bathtub, soap</t>
  </si>
  <si>
    <t>Bathroom_Singles_153.png</t>
  </si>
  <si>
    <t>Bathroom_Singles_154.png</t>
  </si>
  <si>
    <t>Bathroom_Singles_155.png</t>
  </si>
  <si>
    <t>showerhead</t>
  </si>
  <si>
    <t>Bathroom_Singles_156.png</t>
  </si>
  <si>
    <t>shower plate</t>
  </si>
  <si>
    <t>Bathroom_Singles_157.png</t>
  </si>
  <si>
    <t>Bathroom_Singles_158.png</t>
  </si>
  <si>
    <t>Bathroom_Singles_159.png</t>
  </si>
  <si>
    <t>bathtub, shower</t>
  </si>
  <si>
    <t>Bedroom_Singles_1.png</t>
  </si>
  <si>
    <t>bed, right, gray, blue</t>
  </si>
  <si>
    <t>Bedroom_Singles_2.png</t>
  </si>
  <si>
    <t>bed, right, gray, white</t>
  </si>
  <si>
    <t>Bedroom_Singles_3.png</t>
  </si>
  <si>
    <t>bed, right, blue</t>
  </si>
  <si>
    <t>Bedroom_Singles_4.png</t>
  </si>
  <si>
    <t>bed, right, blue, white</t>
  </si>
  <si>
    <t>Bedroom_Singles_5.png</t>
  </si>
  <si>
    <t>bed, right, green, blue</t>
  </si>
  <si>
    <t>Bedroom_Singles_6.png</t>
  </si>
  <si>
    <t>bed, right, green, white</t>
  </si>
  <si>
    <t>Bedroom_Singles_7.png</t>
  </si>
  <si>
    <t>bed, right, dark green, blue</t>
  </si>
  <si>
    <t>Bedroom_Singles_8.png</t>
  </si>
  <si>
    <t>bed, right, dark green, white</t>
  </si>
  <si>
    <t>Bedroom_Singles_9.png</t>
  </si>
  <si>
    <t>bed, right, purple, blue</t>
  </si>
  <si>
    <t>Bedroom_Singles_10.png</t>
  </si>
  <si>
    <t>bed, right, purple, white</t>
  </si>
  <si>
    <t>Bedroom_Singles_11.png</t>
  </si>
  <si>
    <t>bed, right, brown, blue</t>
  </si>
  <si>
    <t>Bedroom_Singles_12.png</t>
  </si>
  <si>
    <t>bed, right, brown, white</t>
  </si>
  <si>
    <t>Bedroom_Singles_13.png</t>
  </si>
  <si>
    <t>bed, right, yellow, blue</t>
  </si>
  <si>
    <t>Bedroom_Singles_14.png</t>
  </si>
  <si>
    <t>bed, right, yellow, white</t>
  </si>
  <si>
    <t>Bedroom_Singles_15.png</t>
  </si>
  <si>
    <t>Bedroom_Singles_16.png</t>
  </si>
  <si>
    <t>Bedroom_Singles_17.png</t>
  </si>
  <si>
    <t>Bedroom_Singles_18.png</t>
  </si>
  <si>
    <t>Bedroom_Singles_19.png</t>
  </si>
  <si>
    <t>Bedroom_Singles_20.png</t>
  </si>
  <si>
    <t>Bedroom_Singles_21.png</t>
  </si>
  <si>
    <t>Bedroom_Singles_22.png</t>
  </si>
  <si>
    <t>Bedroom_Singles_23.png</t>
  </si>
  <si>
    <t>Bedroom_Singles_24.png</t>
  </si>
  <si>
    <t>Bedroom_Singles_25.png</t>
  </si>
  <si>
    <t>Bedroom_Singles_26.png</t>
  </si>
  <si>
    <t>Bedroom_Singles_27.png</t>
  </si>
  <si>
    <t>Bedroom_Singles_28.png</t>
  </si>
  <si>
    <t>Bedroom_Singles_29.png</t>
  </si>
  <si>
    <t>Bedroom_Singles_30.png</t>
  </si>
  <si>
    <t>Bedroom_Singles_31.png</t>
  </si>
  <si>
    <t>Bedroom_Singles_32.png</t>
  </si>
  <si>
    <t>Bedroom_Singles_33.png</t>
  </si>
  <si>
    <t>Bedroom_Singles_34.png</t>
  </si>
  <si>
    <t>Bedroom_Singles_35.png</t>
  </si>
  <si>
    <t>Bedroom_Singles_36.png</t>
  </si>
  <si>
    <t>Bedroom_Singles_37.png</t>
  </si>
  <si>
    <t>Bedroom_Singles_38.png</t>
  </si>
  <si>
    <t>Bedroom_Singles_39.png</t>
  </si>
  <si>
    <t>Bedroom_Singles_40.png</t>
  </si>
  <si>
    <t>Bedroom_Singles_41.png</t>
  </si>
  <si>
    <t>Bedroom_Singles_42.png</t>
  </si>
  <si>
    <t>Bedroom_Singles_43.png</t>
  </si>
  <si>
    <t>Bedroom_Singles_44.png</t>
  </si>
  <si>
    <t>Bedroom_Singles_45.png</t>
  </si>
  <si>
    <t>Bedroom_Singles_46.png</t>
  </si>
  <si>
    <t>Bedroom_Singles_47.png</t>
  </si>
  <si>
    <t>Bedroom_Singles_48.png</t>
  </si>
  <si>
    <t>Bedroom_Singles_49.png</t>
  </si>
  <si>
    <t>Bedroom_Singles_50.png</t>
  </si>
  <si>
    <t>Bedroom_Singles_51.png</t>
  </si>
  <si>
    <t>Bedroom_Singles_52.png</t>
  </si>
  <si>
    <t>Bedroom_Singles_53.png</t>
  </si>
  <si>
    <t>Bedroom_Singles_54.png</t>
  </si>
  <si>
    <t>Bedroom_Singles_55.png</t>
  </si>
  <si>
    <t>Bedroom_Singles_56.png</t>
  </si>
  <si>
    <t>Bedroom_Singles_57.png</t>
  </si>
  <si>
    <t>bed sheet, right, blue</t>
  </si>
  <si>
    <t>Bedroom_Singles_58.png</t>
  </si>
  <si>
    <t>bed sheet, right, gray</t>
  </si>
  <si>
    <t>Bedroom_Singles_59.png</t>
  </si>
  <si>
    <t>bed sheet, right, pink</t>
  </si>
  <si>
    <t>Bedroom_Singles_60.png</t>
  </si>
  <si>
    <t>bed sheet, right, yellow</t>
  </si>
  <si>
    <t>Bedroom_Singles_61.png</t>
  </si>
  <si>
    <t>Bedroom_Singles_62.png</t>
  </si>
  <si>
    <t>bed sheet, right, purple</t>
  </si>
  <si>
    <t>Bedroom_Singles_63.png</t>
  </si>
  <si>
    <t>bed, left, gray, blue</t>
  </si>
  <si>
    <t>Bedroom_Singles_64.png</t>
  </si>
  <si>
    <t>bed, left, gray, white</t>
  </si>
  <si>
    <t>Bedroom_Singles_65.png</t>
  </si>
  <si>
    <t>bed, left, blue</t>
  </si>
  <si>
    <t>Bedroom_Singles_66.png</t>
  </si>
  <si>
    <t>bed, left, blue, white</t>
  </si>
  <si>
    <t>Bedroom_Singles_67.png</t>
  </si>
  <si>
    <t>bed, left, green, blue</t>
  </si>
  <si>
    <t>Bedroom_Singles_68.png</t>
  </si>
  <si>
    <t>bed, left, green, white</t>
  </si>
  <si>
    <t>Bedroom_Singles_69.png</t>
  </si>
  <si>
    <t>bed, left, dark green, blue</t>
  </si>
  <si>
    <t>Bedroom_Singles_70.png</t>
  </si>
  <si>
    <t>bed, left, dark green, white</t>
  </si>
  <si>
    <t>Bedroom_Singles_71.png</t>
  </si>
  <si>
    <t>bed, left, purple, blue</t>
  </si>
  <si>
    <t>Bedroom_Singles_72.png</t>
  </si>
  <si>
    <t>bed, left, purple, white</t>
  </si>
  <si>
    <t>Bedroom_Singles_73.png</t>
  </si>
  <si>
    <t>bed, left, brown, blue</t>
  </si>
  <si>
    <t>Bedroom_Singles_74.png</t>
  </si>
  <si>
    <t>bed, left, brown, white</t>
  </si>
  <si>
    <t>Bedroom_Singles_75.png</t>
  </si>
  <si>
    <t>bed, left, yellow, blue</t>
  </si>
  <si>
    <t>Bedroom_Singles_76.png</t>
  </si>
  <si>
    <t>bed, left, yellow, white</t>
  </si>
  <si>
    <t>Bedroom_Singles_77.png</t>
  </si>
  <si>
    <t>Bedroom_Singles_78.png</t>
  </si>
  <si>
    <t>Bedroom_Singles_79.png</t>
  </si>
  <si>
    <t>Bedroom_Singles_80.png</t>
  </si>
  <si>
    <t>Bedroom_Singles_81.png</t>
  </si>
  <si>
    <t>Bedroom_Singles_82.png</t>
  </si>
  <si>
    <t>Bedroom_Singles_83.png</t>
  </si>
  <si>
    <t>Bedroom_Singles_84.png</t>
  </si>
  <si>
    <t>Bedroom_Singles_85.png</t>
  </si>
  <si>
    <t>Bedroom_Singles_86.png</t>
  </si>
  <si>
    <t>Bedroom_Singles_87.png</t>
  </si>
  <si>
    <t>Bedroom_Singles_88.png</t>
  </si>
  <si>
    <t>Bedroom_Singles_89.png</t>
  </si>
  <si>
    <t>Bedroom_Singles_90.png</t>
  </si>
  <si>
    <t>Bedroom_Singles_91.png</t>
  </si>
  <si>
    <t>Bedroom_Singles_92.png</t>
  </si>
  <si>
    <t>Bedroom_Singles_93.png</t>
  </si>
  <si>
    <t>Bedroom_Singles_94.png</t>
  </si>
  <si>
    <t>Bedroom_Singles_95.png</t>
  </si>
  <si>
    <t>Bedroom_Singles_96.png</t>
  </si>
  <si>
    <t>Bedroom_Singles_97.png</t>
  </si>
  <si>
    <t>Bedroom_Singles_98.png</t>
  </si>
  <si>
    <t>Bedroom_Singles_99.png</t>
  </si>
  <si>
    <t>Bedroom_Singles_100.png</t>
  </si>
  <si>
    <t>Bedroom_Singles_101.png</t>
  </si>
  <si>
    <t>Bedroom_Singles_102.png</t>
  </si>
  <si>
    <t>Bedroom_Singles_103.png</t>
  </si>
  <si>
    <t>Bedroom_Singles_104.png</t>
  </si>
  <si>
    <t>Bedroom_Singles_105.png</t>
  </si>
  <si>
    <t>Bedroom_Singles_106.png</t>
  </si>
  <si>
    <t>Bedroom_Singles_107.png</t>
  </si>
  <si>
    <t>Bedroom_Singles_108.png</t>
  </si>
  <si>
    <t>Bedroom_Singles_109.png</t>
  </si>
  <si>
    <t>Bedroom_Singles_110.png</t>
  </si>
  <si>
    <t>Bedroom_Singles_111.png</t>
  </si>
  <si>
    <t>Bedroom_Singles_112.png</t>
  </si>
  <si>
    <t>Bedroom_Singles_113.png</t>
  </si>
  <si>
    <t>Bedroom_Singles_114.png</t>
  </si>
  <si>
    <t>Bedroom_Singles_115.png</t>
  </si>
  <si>
    <t>Bedroom_Singles_116.png</t>
  </si>
  <si>
    <t>Bedroom_Singles_117.png</t>
  </si>
  <si>
    <t>Bedroom_Singles_118.png</t>
  </si>
  <si>
    <t>Bedroom_Singles_119.png</t>
  </si>
  <si>
    <t>bed sheet, left, blue</t>
  </si>
  <si>
    <t>Bedroom_Singles_120.png</t>
  </si>
  <si>
    <t>bed sheet, left, gray</t>
  </si>
  <si>
    <t>Bedroom_Singles_121.png</t>
  </si>
  <si>
    <t>bed sheet, left, pink</t>
  </si>
  <si>
    <t>Bedroom_Singles_122.png</t>
  </si>
  <si>
    <t>bed sheet, left, yellow</t>
  </si>
  <si>
    <t>Bedroom_Singles_123.png</t>
  </si>
  <si>
    <t>Bedroom_Singles_124.png</t>
  </si>
  <si>
    <t>bed sheet, left, purple</t>
  </si>
  <si>
    <t>Bedroom_Singles_125.png</t>
  </si>
  <si>
    <t>bunk bed, light blue</t>
  </si>
  <si>
    <t>Bedroom_Singles_126.png</t>
  </si>
  <si>
    <t>bunk bed, green</t>
  </si>
  <si>
    <t>Bedroom_Singles_127.png</t>
  </si>
  <si>
    <t>Bedroom_Singles_128.png</t>
  </si>
  <si>
    <t>bunk bed, purple</t>
  </si>
  <si>
    <t>Bedroom_Singles_129.png</t>
  </si>
  <si>
    <t>bunk bed, gray</t>
  </si>
  <si>
    <t>Bedroom_Singles_130.png</t>
  </si>
  <si>
    <t>bunk bed, yellow</t>
  </si>
  <si>
    <t>Bedroom_Singles_131.png</t>
  </si>
  <si>
    <t>bunk bed, right, blue</t>
  </si>
  <si>
    <t>Bedroom_Singles_132.png</t>
  </si>
  <si>
    <t>bunk bed, right, green</t>
  </si>
  <si>
    <t>Bedroom_Singles_133.png</t>
  </si>
  <si>
    <t>bunk bed, right, purple</t>
  </si>
  <si>
    <t>Bedroom_Singles_134.png</t>
  </si>
  <si>
    <t>bunk bed, right, pink</t>
  </si>
  <si>
    <t>Bedroom_Singles_136.png</t>
  </si>
  <si>
    <t>Bedroom_Singles_137.png</t>
  </si>
  <si>
    <t>bunk bed, right, yellow</t>
  </si>
  <si>
    <t>Bedroom_Singles_139.png</t>
  </si>
  <si>
    <t>bunk bed, right, gray</t>
  </si>
  <si>
    <t>Bedroom_Singles_140.png</t>
  </si>
  <si>
    <t>Bedroom_Singles_141.png</t>
  </si>
  <si>
    <t>Bedroom_Singles_142.png</t>
  </si>
  <si>
    <t>Bedroom_Singles_143.png</t>
  </si>
  <si>
    <t>Bedroom_Singles_144.png</t>
  </si>
  <si>
    <t>Bedroom_Singles_145.png</t>
  </si>
  <si>
    <t>Bedroom_Singles_146.png</t>
  </si>
  <si>
    <t>Bedroom_Singles_147.png</t>
  </si>
  <si>
    <t>Bedroom_Singles_148.png</t>
  </si>
  <si>
    <t>Bedroom_Singles_149.png</t>
  </si>
  <si>
    <t>Bedroom_Singles_150.png</t>
  </si>
  <si>
    <t>Bedroom_Singles_151.png</t>
  </si>
  <si>
    <t>Bedroom_Singles_152.png</t>
  </si>
  <si>
    <t>Bedroom_Singles_153.png</t>
  </si>
  <si>
    <t>Bedroom_Singles_154.png</t>
  </si>
  <si>
    <t>Bedroom_Singles_155.png</t>
  </si>
  <si>
    <t>Bedroom_Singles_156.png</t>
  </si>
  <si>
    <t>Bedroom_Singles_157.png</t>
  </si>
  <si>
    <t>Bedroom_Singles_158.png</t>
  </si>
  <si>
    <t>Bedroom_Singles_159.png</t>
  </si>
  <si>
    <t>Bedroom_Singles_160.png</t>
  </si>
  <si>
    <t>Bedroom_Singles_161.png</t>
  </si>
  <si>
    <t>Bedroom_Singles_162.png</t>
  </si>
  <si>
    <t>Bedroom_Singles_163.png</t>
  </si>
  <si>
    <t>Bedroom_Singles_164.png</t>
  </si>
  <si>
    <t>Bedroom_Singles_165.png</t>
  </si>
  <si>
    <t>Bedroom_Singles_166.png</t>
  </si>
  <si>
    <t>Bedroom_Singles_167.png</t>
  </si>
  <si>
    <t>Bedroom_Singles_168.png</t>
  </si>
  <si>
    <t>Bedroom_Singles_169.png</t>
  </si>
  <si>
    <t>Bedroom_Singles_170.png</t>
  </si>
  <si>
    <t>Bedroom_Singles_171.png</t>
  </si>
  <si>
    <t>Bedroom_Singles_172.png</t>
  </si>
  <si>
    <t>Bedroom_Singles_173.png</t>
  </si>
  <si>
    <t>Bedroom_Singles_174.png</t>
  </si>
  <si>
    <t>Bedroom_Singles_175.png</t>
  </si>
  <si>
    <t>Bedroom_Singles_176.png</t>
  </si>
  <si>
    <t>Bedroom_Singles_177.png</t>
  </si>
  <si>
    <t>Bedroom_Singles_178.png</t>
  </si>
  <si>
    <t>Bedroom_Singles_179.png</t>
  </si>
  <si>
    <t>Bedroom_Singles_180.png</t>
  </si>
  <si>
    <t>Bedroom_Singles_181.png</t>
  </si>
  <si>
    <t>Bedroom_Singles_182.png</t>
  </si>
  <si>
    <t>Bedroom_Singles_183.png</t>
  </si>
  <si>
    <t>Bedroom_Singles_184.png</t>
  </si>
  <si>
    <t>Bedroom_Singles_185.png</t>
  </si>
  <si>
    <t>Bedroom_Singles_186.png</t>
  </si>
  <si>
    <t>Bedroom_Singles_187.png</t>
  </si>
  <si>
    <t>Bedroom_Singles_188.png</t>
  </si>
  <si>
    <t>Bedroom_Singles_189.png</t>
  </si>
  <si>
    <t>Bedroom_Singles_190.png</t>
  </si>
  <si>
    <t>Bedroom_Singles_191.png</t>
  </si>
  <si>
    <t>Bedroom_Singles_192.png</t>
  </si>
  <si>
    <t>Bedroom_Singles_193.png</t>
  </si>
  <si>
    <t>Bedroom_Singles_194.png</t>
  </si>
  <si>
    <t>Bedroom_Singles_195.png</t>
  </si>
  <si>
    <t>Bedroom_Singles_196.png</t>
  </si>
  <si>
    <t>Bedroom_Singles_197.png</t>
  </si>
  <si>
    <t>Bedroom_Singles_198.png</t>
  </si>
  <si>
    <t>Bedroom_Singles_199.png</t>
  </si>
  <si>
    <t>Bedroom_Singles_200.png</t>
  </si>
  <si>
    <t>Bedroom_Singles_201.png</t>
  </si>
  <si>
    <t>Bedroom_Singles_202.png</t>
  </si>
  <si>
    <t>Bedroom_Singles_203.png</t>
  </si>
  <si>
    <t>Bedroom_Singles_204.png</t>
  </si>
  <si>
    <t>Bedroom_Singles_205.png</t>
  </si>
  <si>
    <t>Bedroom_Singles_206.png</t>
  </si>
  <si>
    <t>Bedroom_Singles_207.png</t>
  </si>
  <si>
    <t>Bedroom_Singles_208.png</t>
  </si>
  <si>
    <t>Bedroom_Singles_209.png</t>
  </si>
  <si>
    <t>Bedroom_Singles_210.png</t>
  </si>
  <si>
    <t>Bedroom_Singles_211.png</t>
  </si>
  <si>
    <t>Bedroom_Singles_212.png</t>
  </si>
  <si>
    <t>Bedroom_Singles_213.png</t>
  </si>
  <si>
    <t>Bedroom_Singles_214.png</t>
  </si>
  <si>
    <t>Bedroom_Singles_215.png</t>
  </si>
  <si>
    <t>Bedroom_Singles_216.png</t>
  </si>
  <si>
    <t>Bedroom_Singles_217.png</t>
  </si>
  <si>
    <t>Bedroom_Singles_218.png</t>
  </si>
  <si>
    <t>Bedroom_Singles_219.png</t>
  </si>
  <si>
    <t>Bedroom_Singles_220.png</t>
  </si>
  <si>
    <t>Bedroom_Singles_221.png</t>
  </si>
  <si>
    <t>Bedroom_Singles_222.png</t>
  </si>
  <si>
    <t>Bedroom_Singles_223.png</t>
  </si>
  <si>
    <t>Bedroom_Singles_224.png</t>
  </si>
  <si>
    <t>Bedroom_Singles_225.png</t>
  </si>
  <si>
    <t>Bedroom_Singles_226.png</t>
  </si>
  <si>
    <t>Bedroom_Singles_227.png</t>
  </si>
  <si>
    <t>Bedroom_Singles_228.png</t>
  </si>
  <si>
    <t>Bedroom_Singles_229.png</t>
  </si>
  <si>
    <t>Bedroom_Singles_230.png</t>
  </si>
  <si>
    <t>Bedroom_Singles_231.png</t>
  </si>
  <si>
    <t>Bedroom_Singles_232.png</t>
  </si>
  <si>
    <t>Bedroom_Singles_233.png</t>
  </si>
  <si>
    <t>Bedroom_Singles_234.png</t>
  </si>
  <si>
    <t>Bedroom_Singles_235.png</t>
  </si>
  <si>
    <t>Bedroom_Singles_236.png</t>
  </si>
  <si>
    <t>Bedroom_Singles_237.png</t>
  </si>
  <si>
    <t>Bedroom_Singles_238.png</t>
  </si>
  <si>
    <t>Bedroom_Singles_239.png</t>
  </si>
  <si>
    <t>Bedroom_Singles_240.png</t>
  </si>
  <si>
    <t>Bedroom_Singles_241.png</t>
  </si>
  <si>
    <t>Bedroom_Singles_242.png</t>
  </si>
  <si>
    <t>Bedroom_Singles_243.png</t>
  </si>
  <si>
    <t>Bedroom_Singles_244.png</t>
  </si>
  <si>
    <t>Bedroom_Singles_245.png</t>
  </si>
  <si>
    <t>Bedroom_Singles_246.png</t>
  </si>
  <si>
    <t>Bedroom_Singles_247.png</t>
  </si>
  <si>
    <t>Bedroom_Singles_248.png</t>
  </si>
  <si>
    <t>Bedroom_Singles_249.png</t>
  </si>
  <si>
    <t>Bedroom_Singles_250.png</t>
  </si>
  <si>
    <t>Bedroom_Singles_251.png</t>
  </si>
  <si>
    <t>Bedroom_Singles_252.png</t>
  </si>
  <si>
    <t>Bedroom_Singles_253.png</t>
  </si>
  <si>
    <t>Bedroom_Singles_254.png</t>
  </si>
  <si>
    <t>Bedroom_Singles_255.png</t>
  </si>
  <si>
    <t>Bedroom_Singles_256.png</t>
  </si>
  <si>
    <t>Bedroom_Singles_257.png</t>
  </si>
  <si>
    <t>Bedroom_Singles_258.png</t>
  </si>
  <si>
    <t>Bedroom_Singles_259.png</t>
  </si>
  <si>
    <t>Bedroom_Singles_260.png</t>
  </si>
  <si>
    <t>Bedroom_Singles_261.png</t>
  </si>
  <si>
    <t>Bedroom_Singles_262.png</t>
  </si>
  <si>
    <t>Bedroom_Singles_263.png</t>
  </si>
  <si>
    <t>Bedroom_Singles_264.png</t>
  </si>
  <si>
    <t>Bedroom_Singles_265.png</t>
  </si>
  <si>
    <t>Bedroom_Singles_266.png</t>
  </si>
  <si>
    <t>Bedroom_Singles_267.png</t>
  </si>
  <si>
    <t>Bedroom_Singles_268.png</t>
  </si>
  <si>
    <t>Bedroom_Singles_269.png</t>
  </si>
  <si>
    <t>Bedroom_Singles_270.png</t>
  </si>
  <si>
    <t>Bedroom_Singles_271.png</t>
  </si>
  <si>
    <t>Bedroom_Singles_272.png</t>
  </si>
  <si>
    <t>Bedroom_Singles_273.png</t>
  </si>
  <si>
    <t>Bedroom_Singles_274.png</t>
  </si>
  <si>
    <t>Bedroom_Singles_275.png</t>
  </si>
  <si>
    <t>Bedroom_Singles_276.png</t>
  </si>
  <si>
    <t>Bedroom_Singles_277.png</t>
  </si>
  <si>
    <t>Bedroom_Singles_278.png</t>
  </si>
  <si>
    <t>Bedroom_Singles_279.png</t>
  </si>
  <si>
    <t>Bedroom_Singles_280.png</t>
  </si>
  <si>
    <t>Bedroom_Singles_281.png</t>
  </si>
  <si>
    <t>Bedroom_Singles_282.png</t>
  </si>
  <si>
    <t>Bedroom_Singles_283.png</t>
  </si>
  <si>
    <t>Bedroom_Singles_284.png</t>
  </si>
  <si>
    <t>Bedroom_Singles_285.png</t>
  </si>
  <si>
    <t>Bedroom_Singles_286.png</t>
  </si>
  <si>
    <t>Bedroom_Singles_287.png</t>
  </si>
  <si>
    <t>Bedroom_Singles_288.png</t>
  </si>
  <si>
    <t>Bedroom_Singles_289.png</t>
  </si>
  <si>
    <t>Bedroom_Singles_290.png</t>
  </si>
  <si>
    <t>Bedroom_Singles_291.png</t>
  </si>
  <si>
    <t>Bedroom_Singles_292.png</t>
  </si>
  <si>
    <t>Bedroom_Singles_293.png</t>
  </si>
  <si>
    <t>Bedroom_Singles_294.png</t>
  </si>
  <si>
    <t>Bedroom_Singles_295.png</t>
  </si>
  <si>
    <t>Bedroom_Singles_296.png</t>
  </si>
  <si>
    <t>Bedroom_Singles_297.png</t>
  </si>
  <si>
    <t>Bedroom_Singles_298.png</t>
  </si>
  <si>
    <t>Bedroom_Singles_299.png</t>
  </si>
  <si>
    <t>Bedroom_Singles_300.png</t>
  </si>
  <si>
    <t>Bedroom_Singles_301.png</t>
  </si>
  <si>
    <t>Bedroom_Singles_302.png</t>
  </si>
  <si>
    <t>Bedroom_Singles_303.png</t>
  </si>
  <si>
    <t>Bedroom_Singles_304.png</t>
  </si>
  <si>
    <t>Bedroom_Singles_305.png</t>
  </si>
  <si>
    <t>Bedroom_Singles_306.png</t>
  </si>
  <si>
    <t>Bedroom_Singles_307.png</t>
  </si>
  <si>
    <t>Bedroom_Singles_308.png</t>
  </si>
  <si>
    <t>Bedroom_Singles_309.png</t>
  </si>
  <si>
    <t>Bedroom_Singles_310.png</t>
  </si>
  <si>
    <t>Bedroom_Singles_311.png</t>
  </si>
  <si>
    <t>Bedroom_Singles_312.png</t>
  </si>
  <si>
    <t>Bedroom_Singles_313.png</t>
  </si>
  <si>
    <t>Bedroom_Singles_314.png</t>
  </si>
  <si>
    <t>Bedroom_Singles_315.png</t>
  </si>
  <si>
    <t>Bedroom_Singles_316.png</t>
  </si>
  <si>
    <t>Bedroom_Singles_317.png</t>
  </si>
  <si>
    <t>Bedroom_Singles_318.png</t>
  </si>
  <si>
    <t>Bedroom_Singles_319.png</t>
  </si>
  <si>
    <t>Bedroom_Singles_320.png</t>
  </si>
  <si>
    <t>Bedroom_Singles_321.png</t>
  </si>
  <si>
    <t>Bedroom_Singles_322.png</t>
  </si>
  <si>
    <t>Bedroom_Singles_323.png</t>
  </si>
  <si>
    <t>Bedroom_Singles_324.png</t>
  </si>
  <si>
    <t>Bedroom_Singles_325.png</t>
  </si>
  <si>
    <t>Bedroom_Singles_326.png</t>
  </si>
  <si>
    <t>Bedroom_Singles_327.png</t>
  </si>
  <si>
    <t>Bedroom_Singles_328.png</t>
  </si>
  <si>
    <t>Bedroom_Singles_329.png</t>
  </si>
  <si>
    <t>Bedroom_Singles_330.png</t>
  </si>
  <si>
    <t>Bedroom_Singles_331.png</t>
  </si>
  <si>
    <t>Bedroom_Singles_332.png</t>
  </si>
  <si>
    <t>Bedroom_Singles_333.png</t>
  </si>
  <si>
    <t>Bedroom_Singles_334.png</t>
  </si>
  <si>
    <t>Bedroom_Singles_335.png</t>
  </si>
  <si>
    <t>Bedroom_Singles_336.png</t>
  </si>
  <si>
    <t>Bedroom_Singles_337.png</t>
  </si>
  <si>
    <t>Bedroom_Singles_338.png</t>
  </si>
  <si>
    <t>Bedroom_Singles_339.png</t>
  </si>
  <si>
    <t>Bedroom_Singles_340.png</t>
  </si>
  <si>
    <t>Bedroom_Singles_341.png</t>
  </si>
  <si>
    <t>Bedroom_Singles_342.png</t>
  </si>
  <si>
    <t>Bedroom_Singles_343.png</t>
  </si>
  <si>
    <t>Bedroom_Singles_344.png</t>
  </si>
  <si>
    <t>Bedroom_Singles_345.png</t>
  </si>
  <si>
    <t>Bedroom_Singles_346.png</t>
  </si>
  <si>
    <t>Bedroom_Singles_347.png</t>
  </si>
  <si>
    <t>Bedroom_Singles_348.png</t>
  </si>
  <si>
    <t>Bedroom_Singles_349.png</t>
  </si>
  <si>
    <t>Bedroom_Singles_350.png</t>
  </si>
  <si>
    <t>Bedroom_Singles_351.png</t>
  </si>
  <si>
    <t>Bedroom_Singles_352.png</t>
  </si>
  <si>
    <t>Bedroom_Singles_353.png</t>
  </si>
  <si>
    <t>Bedroom_Singles_354.png</t>
  </si>
  <si>
    <t>Bedroom_Singles_355.png</t>
  </si>
  <si>
    <t>Bedroom_Singles_356.png</t>
  </si>
  <si>
    <t>Bedroom_Singles_357.png</t>
  </si>
  <si>
    <t>Bedroom_Singles_358.png</t>
  </si>
  <si>
    <t>Bedroom_Singles_359.png</t>
  </si>
  <si>
    <t>Bedroom_Singles_360.png</t>
  </si>
  <si>
    <t>Bedroom_Singles_361.png</t>
  </si>
  <si>
    <t>Bedroom_Singles_362.png</t>
  </si>
  <si>
    <t>Bedroom_Singles_363.png</t>
  </si>
  <si>
    <t>Bedroom_Singles_364.png</t>
  </si>
  <si>
    <t>Bedroom_Singles_365.png</t>
  </si>
  <si>
    <t>Bedroom_Singles_366.png</t>
  </si>
  <si>
    <t>Bedroom_Singles_367.png</t>
  </si>
  <si>
    <t>Bedroom_Singles_368.png</t>
  </si>
  <si>
    <t>Bedroom_Singles_369.png</t>
  </si>
  <si>
    <t>Bedroom_Singles_370.png</t>
  </si>
  <si>
    <t>Bedroom_Singles_371.png</t>
  </si>
  <si>
    <t>Bedroom_Singles_372.png</t>
  </si>
  <si>
    <t>Bedroom_Singles_373.png</t>
  </si>
  <si>
    <t>Bedroom_Singles_374.png</t>
  </si>
  <si>
    <t>Bedroom_Singles_375.png</t>
  </si>
  <si>
    <t>Bedroom_Singles_376.png</t>
  </si>
  <si>
    <t>Bedroom_Singles_377.png</t>
  </si>
  <si>
    <t>Bedroom_Singles_378.png</t>
  </si>
  <si>
    <t>Bedroom_Singles_379.png</t>
  </si>
  <si>
    <t>Bedroom_Singles_380.png</t>
  </si>
  <si>
    <t>Bedroom_Singles_381.png</t>
  </si>
  <si>
    <t>Bedroom_Singles_382.png</t>
  </si>
  <si>
    <t>Bedroom_Singles_383.png</t>
  </si>
  <si>
    <t>Bedroom_Singles_384.png</t>
  </si>
  <si>
    <t>Bedroom_Singles_385.png</t>
  </si>
  <si>
    <t>Bedroom_Singles_386.png</t>
  </si>
  <si>
    <t>Bedroom_Singles_387.png</t>
  </si>
  <si>
    <t>Bedroom_Singles_388.png</t>
  </si>
  <si>
    <t>Bedroom_Singles_389.png</t>
  </si>
  <si>
    <t>Bedroom_Singles_390.png</t>
  </si>
  <si>
    <t>Bedroom_Singles_391.png</t>
  </si>
  <si>
    <t>Bedroom_Singles_392.png</t>
  </si>
  <si>
    <t>Bedroom_Singles_393.png</t>
  </si>
  <si>
    <t>Bedroom_Singles_394.png</t>
  </si>
  <si>
    <t>Bedroom_Singles_395.png</t>
  </si>
  <si>
    <t>Bedroom_Singles_396.png</t>
  </si>
  <si>
    <t>Bedroom_Singles_397.png</t>
  </si>
  <si>
    <t>Bedroom_Singles_398.png</t>
  </si>
  <si>
    <t>Bedroom_Singles_399.png</t>
  </si>
  <si>
    <t>Bedroom_Singles_400.png</t>
  </si>
  <si>
    <t>Bedroom_Singles_401.png</t>
  </si>
  <si>
    <t>Bedroom_Singles_402.png</t>
  </si>
  <si>
    <t>Bedroom_Singles_403.png</t>
  </si>
  <si>
    <t>Bedroom_Singles_404.png</t>
  </si>
  <si>
    <t>Bedroom_Singles_405.png</t>
  </si>
  <si>
    <t>Bedroom_Singles_406.png</t>
  </si>
  <si>
    <t>Bedroom_Singles_407.png</t>
  </si>
  <si>
    <t>Bedroom_Singles_408.png</t>
  </si>
  <si>
    <t>Bedroom_Singles_409.png</t>
  </si>
  <si>
    <t>Bedroom_Singles_410.png</t>
  </si>
  <si>
    <t>Bedroom_Singles_411.png</t>
  </si>
  <si>
    <t>Bedroom_Singles_412.png</t>
  </si>
  <si>
    <t>Bedroom_Singles_413.png</t>
  </si>
  <si>
    <t>Bedroom_Singles_414.png</t>
  </si>
  <si>
    <t>Bedroom_Singles_415.png</t>
  </si>
  <si>
    <t>Bedroom_Singles_416.png</t>
  </si>
  <si>
    <t>Bedroom_Singles_417.png</t>
  </si>
  <si>
    <t>Bedroom_Singles_418.png</t>
  </si>
  <si>
    <t>Bedroom_Singles_419.png</t>
  </si>
  <si>
    <t>Bedroom_Singles_420.png</t>
  </si>
  <si>
    <t>Bedroom_Singles_421.png</t>
  </si>
  <si>
    <t>Bedroom_Singles_422.png</t>
  </si>
  <si>
    <t>Bedroom_Singles_423.png</t>
  </si>
  <si>
    <t>Bedroom_Singles_424.png</t>
  </si>
  <si>
    <t>Bedroom_Singles_425.png</t>
  </si>
  <si>
    <t>Bedroom_Singles_426.png</t>
  </si>
  <si>
    <t>Bedroom_Singles_427.png</t>
  </si>
  <si>
    <t>Bedroom_Singles_428.png</t>
  </si>
  <si>
    <t>Bedroom_Singles_429.png</t>
  </si>
  <si>
    <t>Bedroom_Singles_430.png</t>
  </si>
  <si>
    <t>Bedroom_Singles_431.png</t>
  </si>
  <si>
    <t>Bedroom_Singles_432.png</t>
  </si>
  <si>
    <t>Bedroom_Singles_433.png</t>
  </si>
  <si>
    <t>Bedroom_Singles_434.png</t>
  </si>
  <si>
    <t>Bedroom_Singles_435.png</t>
  </si>
  <si>
    <t>Bedroom_Singles_436.png</t>
  </si>
  <si>
    <t>Bedroom_Singles_437.png</t>
  </si>
  <si>
    <t>Bedroom_Singles_438.png</t>
  </si>
  <si>
    <t>Bedroom_Singles_439.png</t>
  </si>
  <si>
    <t>Bedroom_Singles_440.png</t>
  </si>
  <si>
    <t>Bedroom_Singles_441.png</t>
  </si>
  <si>
    <t>Bedroom_Singles_442.png</t>
  </si>
  <si>
    <t>Bedroom_Singles_443.png</t>
  </si>
  <si>
    <t>Bedroom_Singles_444.png</t>
  </si>
  <si>
    <t>Bedroom_Singles_445.png</t>
  </si>
  <si>
    <t>Bedroom_Singles_446.png</t>
  </si>
  <si>
    <t>Bedroom_Singles_447.png</t>
  </si>
  <si>
    <t>Bedroom_Singles_448.png</t>
  </si>
  <si>
    <t>Bedroom_Singles_449.png</t>
  </si>
  <si>
    <t>Bedroom_Singles_450.png</t>
  </si>
  <si>
    <t>Bedroom_Singles_451.png</t>
  </si>
  <si>
    <t>Bedroom_Singles_452.png</t>
  </si>
  <si>
    <t>Bedroom_Singles_453.png</t>
  </si>
  <si>
    <t>Bedroom_Singles_454.png</t>
  </si>
  <si>
    <t>Bedroom_Singles_455.png</t>
  </si>
  <si>
    <t>Bedroom_Singles_456.png</t>
  </si>
  <si>
    <t>Bedroom_Singles_457.png</t>
  </si>
  <si>
    <t>Bedroom_Singles_458.png</t>
  </si>
  <si>
    <t>Bedroom_Singles_459.png</t>
  </si>
  <si>
    <t>Bedroom_Singles_460.png</t>
  </si>
  <si>
    <t>Bedroom_Singles_461.png</t>
  </si>
  <si>
    <t>Bedroom_Singles_462.png</t>
  </si>
  <si>
    <t>Bedroom_Singles_463.png</t>
  </si>
  <si>
    <t>Bedroom_Singles_464.png</t>
  </si>
  <si>
    <t>Bedroom_Singles_465.png</t>
  </si>
  <si>
    <t>Bedroom_Singles_466.png</t>
  </si>
  <si>
    <t>Bedroom_Singles_467.png</t>
  </si>
  <si>
    <t>Bedroom_Singles_468.png</t>
  </si>
  <si>
    <t>Bedroom_Singles_469.png</t>
  </si>
  <si>
    <t>Bedroom_Singles_470.png</t>
  </si>
  <si>
    <t>Bedroom_Singles_471.png</t>
  </si>
  <si>
    <t>Bedroom_Singles_472.png</t>
  </si>
  <si>
    <t>Bedroom_Singles_473.png</t>
  </si>
  <si>
    <t>Bedroom_Singles_474.png</t>
  </si>
  <si>
    <t>Bedroom_Singles_475.png</t>
  </si>
  <si>
    <t>Bedroom_Singles_476.png</t>
  </si>
  <si>
    <t>Bedroom_Singles_477.png</t>
  </si>
  <si>
    <t>Bedroom_Singles_478.png</t>
  </si>
  <si>
    <t>Bedroom_Singles_479.png</t>
  </si>
  <si>
    <t>Bedroom_Singles_480.png</t>
  </si>
  <si>
    <t>Bedroom_Singles_481.png</t>
  </si>
  <si>
    <t>Bedroom_Singles_482.png</t>
  </si>
  <si>
    <t>Bedroom_Singles_483.png</t>
  </si>
  <si>
    <t>Bedroom_Singles_484.png</t>
  </si>
  <si>
    <t>Bedroom_Singles_485.png</t>
  </si>
  <si>
    <t>Bedroom_Singles_486.png</t>
  </si>
  <si>
    <t>Bedroom_Singles_487.png</t>
  </si>
  <si>
    <t>Bedroom_Singles_488.png</t>
  </si>
  <si>
    <t>Bedroom_Singles_489.png</t>
  </si>
  <si>
    <t>Bedroom_Singles_490.png</t>
  </si>
  <si>
    <t>Bedroom_Singles_491.png</t>
  </si>
  <si>
    <t>Bedroom_Singles_492.png</t>
  </si>
  <si>
    <t>Bedroom_Singles_493.png</t>
  </si>
  <si>
    <t>Bedroom_Singles_494.png</t>
  </si>
  <si>
    <t>Bedroom_Singles_495.png</t>
  </si>
  <si>
    <t>Bedroom_Singles_496.png</t>
  </si>
  <si>
    <t>Bedroom_Singles_497.png</t>
  </si>
  <si>
    <t>Bedroom_Singles_498.png</t>
  </si>
  <si>
    <t>Bedroom_Singles_499.png</t>
  </si>
  <si>
    <t>Bedroom_Singles_500.png</t>
  </si>
  <si>
    <t>Bedroom_Singles_501.png</t>
  </si>
  <si>
    <t>Bedroom_Singles_502.png</t>
  </si>
  <si>
    <t>Bedroom_Singles_503.png</t>
  </si>
  <si>
    <t>Bedroom_Singles_504.png</t>
  </si>
  <si>
    <t>Bedroom_Singles_505.png</t>
  </si>
  <si>
    <t>Bedroom_Singles_506.png</t>
  </si>
  <si>
    <t>Bedroom_Singles_507.png</t>
  </si>
  <si>
    <t>Bedroom_Singles_508.png</t>
  </si>
  <si>
    <t>Bedroom_Singles_509.png</t>
  </si>
  <si>
    <t>Bedroom_Singles_510.png</t>
  </si>
  <si>
    <t>Bedroom_Singles_511.png</t>
  </si>
  <si>
    <t>Bedroom_Singles_512.png</t>
  </si>
  <si>
    <t>Bedroom_Singles_513.png</t>
  </si>
  <si>
    <t>Bedroom_Singles_514.png</t>
  </si>
  <si>
    <t>Bedroom_Singles_515.png</t>
  </si>
  <si>
    <t>Bedroom_Singles_516.png</t>
  </si>
  <si>
    <t>Bedroom_Singles_517.png</t>
  </si>
  <si>
    <t>Bedroom_Singles_518.png</t>
  </si>
  <si>
    <t>Bedroom_Singles_519.png</t>
  </si>
  <si>
    <t>Bedroom_Singles_520.png</t>
  </si>
  <si>
    <t>Bedroom_Singles_521.png</t>
  </si>
  <si>
    <t>Bedroom_Singles_522.png</t>
  </si>
  <si>
    <t>Bedroom_Singles_523.png</t>
  </si>
  <si>
    <t>Bedroom_Singles_524.png</t>
  </si>
  <si>
    <t>Bedroom_Singles_525.png</t>
  </si>
  <si>
    <t>Bedroom_Singles_526.png</t>
  </si>
  <si>
    <t>Bedroom_Singles_527.png</t>
  </si>
  <si>
    <t>Bedroom_Singles_528.png</t>
  </si>
  <si>
    <t>Bedroom_Singles_529.png</t>
  </si>
  <si>
    <t>Bedroom_Singles_530.png</t>
  </si>
  <si>
    <t>Bedroom_Singles_531.png</t>
  </si>
  <si>
    <t>Bedroom_Singles_532.png</t>
  </si>
  <si>
    <t>Bedroom_Singles_533.png</t>
  </si>
  <si>
    <t>Bedroom_Singles_534.png</t>
  </si>
  <si>
    <t>Bedroom_Singles_535.png</t>
  </si>
  <si>
    <t>Bedroom_Singles_536.png</t>
  </si>
  <si>
    <t>Bedroom_Singles_537.png</t>
  </si>
  <si>
    <t>Bedroom_Singles_538.png</t>
  </si>
  <si>
    <t>Bedroom_Singles_539.png</t>
  </si>
  <si>
    <t>Bedroom_Singles_540.png</t>
  </si>
  <si>
    <t>Bedroom_Singles_541.png</t>
  </si>
  <si>
    <t>Bedroom_Singles_542.png</t>
  </si>
  <si>
    <t>Bedroom_Singles_543.png</t>
  </si>
  <si>
    <t>Bedroom_Singles_544.png</t>
  </si>
  <si>
    <t>Bedroom_Singles_545.png</t>
  </si>
  <si>
    <t>Bedroom_Singles_546.png</t>
  </si>
  <si>
    <t>Bedroom_Singles_547.png</t>
  </si>
  <si>
    <t>Bedroom_Singles_548.png</t>
  </si>
  <si>
    <t>Bedroom_Singles_549.png</t>
  </si>
  <si>
    <t>Bedroom_Singles_550.png</t>
  </si>
  <si>
    <t>Bedroom_Singles_551.png</t>
  </si>
  <si>
    <t>Bedroom_Singles_552.png</t>
  </si>
  <si>
    <t>Bedroom_Singles_553.png</t>
  </si>
  <si>
    <t>Bedroom_Singles_554.png</t>
  </si>
  <si>
    <t>Bedroom_Singles_555.png</t>
  </si>
  <si>
    <t>Bedroom_Singles_556.png</t>
  </si>
  <si>
    <t>Classroom_and_Library_Singles_1.png</t>
  </si>
  <si>
    <t>chair, wood, down</t>
  </si>
  <si>
    <t>Classroom_and_Library_Singles_2.png</t>
  </si>
  <si>
    <t>chair, wood, top</t>
  </si>
  <si>
    <t>Classroom_and_Library_Singles_3.png</t>
  </si>
  <si>
    <t>chair, wood, left</t>
  </si>
  <si>
    <t>Classroom_and_Library_Singles_4.png</t>
  </si>
  <si>
    <t>chair, wood, right</t>
  </si>
  <si>
    <t>Classroom_and_Library_Singles_5.png</t>
  </si>
  <si>
    <t>chair, table, horizontal</t>
  </si>
  <si>
    <t>Classroom_and_Library_Singles_6.png</t>
  </si>
  <si>
    <t>table, horizontal</t>
  </si>
  <si>
    <t>Classroom_and_Library_Singles_7.png</t>
  </si>
  <si>
    <t>chair, table, horizontal, pen</t>
  </si>
  <si>
    <t>Classroom_and_Library_Singles_8.png</t>
  </si>
  <si>
    <t>table, horizontal, pen</t>
  </si>
  <si>
    <t>Classroom_and_Library_Singles_9.png</t>
  </si>
  <si>
    <t>chair, table, horizontal, papers</t>
  </si>
  <si>
    <t>Classroom_and_Library_Singles_10.png</t>
  </si>
  <si>
    <t>table, horizontal, papers</t>
  </si>
  <si>
    <t>Classroom_and_Library_Singles_11.png</t>
  </si>
  <si>
    <t>chair, table, horizontal, book</t>
  </si>
  <si>
    <t>Classroom_and_Library_Singles_12.png</t>
  </si>
  <si>
    <t>table, horizontal, book</t>
  </si>
  <si>
    <t>Classroom_and_Library_Singles_13.png</t>
  </si>
  <si>
    <t>table, vertical, left</t>
  </si>
  <si>
    <t>Classroom_and_Library_Singles_14.png</t>
  </si>
  <si>
    <t>table, chair, vertical, left</t>
  </si>
  <si>
    <t>Classroom_and_Library_Singles_15.png</t>
  </si>
  <si>
    <t>table, vertical, left, book</t>
  </si>
  <si>
    <t>Classroom_and_Library_Singles_16.png</t>
  </si>
  <si>
    <t>table, chair, vertical, left, book</t>
  </si>
  <si>
    <t>Classroom_and_Library_Singles_17.png</t>
  </si>
  <si>
    <t>table, vertical, left, pen</t>
  </si>
  <si>
    <t>Classroom_and_Library_Singles_18.png</t>
  </si>
  <si>
    <t>table, chair, vertical, left, pen</t>
  </si>
  <si>
    <t>Classroom_and_Library_Singles_19.png</t>
  </si>
  <si>
    <t>table, vertical, right</t>
  </si>
  <si>
    <t>Classroom_and_Library_Singles_20.png</t>
  </si>
  <si>
    <t>table, chair, vertical, right</t>
  </si>
  <si>
    <t>Classroom_and_Library_Singles_21.png</t>
  </si>
  <si>
    <t>table, vertical, right, book</t>
  </si>
  <si>
    <t>Classroom_and_Library_Singles_22.png</t>
  </si>
  <si>
    <t>table, chair, vertical, right, book</t>
  </si>
  <si>
    <t>Classroom_and_Library_Singles_23.png</t>
  </si>
  <si>
    <t>table, vertical, right, pen</t>
  </si>
  <si>
    <t>Classroom_and_Library_Singles_24.png</t>
  </si>
  <si>
    <t>table, chair, vertical, right, pen</t>
  </si>
  <si>
    <t>Classroom_and_Library_Singles_25.png</t>
  </si>
  <si>
    <t>table, desk, large, book, horizontal, down</t>
  </si>
  <si>
    <t>Classroom_and_Library_Singles_26.png</t>
  </si>
  <si>
    <t>table, desk, large, book, horizontal, down, chair</t>
  </si>
  <si>
    <t>Classroom_and_Library_Singles_27.png</t>
  </si>
  <si>
    <t>table, desk, large, right, chair</t>
  </si>
  <si>
    <t>Classroom_and_Library_Singles_28.png</t>
  </si>
  <si>
    <t>table, desk, large, right, chair, book</t>
  </si>
  <si>
    <t>Classroom_and_Library_Singles_29.png</t>
  </si>
  <si>
    <t>table, desk, large, left, chair</t>
  </si>
  <si>
    <t>Classroom_and_Library_Singles_30.png</t>
  </si>
  <si>
    <t>table, desk, large, left, chair, book</t>
  </si>
  <si>
    <t>Classroom_and_Library_Singles_31.png</t>
  </si>
  <si>
    <t>poster, world map</t>
  </si>
  <si>
    <t>Classroom_and_Library_Singles_32.png</t>
  </si>
  <si>
    <t>poster, alphabet</t>
  </si>
  <si>
    <t>Classroom_and_Library_Singles_33.png</t>
  </si>
  <si>
    <t>notice, board, poster, pins</t>
  </si>
  <si>
    <t>Classroom_and_Library_Singles_34.png</t>
  </si>
  <si>
    <t>world globe, gold</t>
  </si>
  <si>
    <t>Classroom_and_Library_Singles_35.png</t>
  </si>
  <si>
    <t>world globe, silver</t>
  </si>
  <si>
    <t>Classroom_and_Library_Singles_36.png</t>
  </si>
  <si>
    <t>blackboard</t>
  </si>
  <si>
    <t>Classroom_and_Library_Singles_37.png</t>
  </si>
  <si>
    <t>blackboard, left</t>
  </si>
  <si>
    <t>Classroom_and_Library_Singles_38.png</t>
  </si>
  <si>
    <t>blackboard, right</t>
  </si>
  <si>
    <t>Classroom_and_Library_Singles_39.png</t>
  </si>
  <si>
    <t>Classroom_and_Library_Singles_40.png</t>
  </si>
  <si>
    <t>locker</t>
  </si>
  <si>
    <t>Classroom_and_Library_Singles_41.png</t>
  </si>
  <si>
    <t>ladder</t>
  </si>
  <si>
    <t>Classroom_and_Library_Singles_42.png</t>
  </si>
  <si>
    <t>Classroom_and_Library_Singles_43.png</t>
  </si>
  <si>
    <t xml:space="preserve"> bookshelf</t>
  </si>
  <si>
    <t>Classroom_and_Library_Singles_44.png</t>
  </si>
  <si>
    <t>Classroom_and_Library_Singles_45.png</t>
  </si>
  <si>
    <t>Classroom_and_Library_Singles_46.png</t>
  </si>
  <si>
    <t>Classroom_and_Library_Singles_47.png</t>
  </si>
  <si>
    <t>Classroom_and_Library_Singles_48.png</t>
  </si>
  <si>
    <t>Classroom_and_Library_Singles_49.png</t>
  </si>
  <si>
    <t>countertop, paper stack</t>
  </si>
  <si>
    <t>Classroom_and_Library_Singles_50.png</t>
  </si>
  <si>
    <t>counterop, librarian</t>
  </si>
  <si>
    <t>Classroom_and_Library_Singles_51.png</t>
  </si>
  <si>
    <t>countertop, librarian</t>
  </si>
  <si>
    <t>Classroom_and_Library_Singles_52.png</t>
  </si>
  <si>
    <t>countertop</t>
  </si>
  <si>
    <t>Classroom_and_Library_Singles_53.png</t>
  </si>
  <si>
    <t>Classroom_and_Library_Singles_54.png</t>
  </si>
  <si>
    <t>countertop, computer</t>
  </si>
  <si>
    <t>Classroom_and_Library_Singles_55.png</t>
  </si>
  <si>
    <t>bookshelf</t>
  </si>
  <si>
    <t>Classroom_and_Library_Singles_56.png</t>
  </si>
  <si>
    <t>Classroom_and_Library_Singles_57.png</t>
  </si>
  <si>
    <t>Classroom_and_Library_Singles_58.png</t>
  </si>
  <si>
    <t>Classroom_and_Library_Singles_59.png</t>
  </si>
  <si>
    <t>bookshelf, narrow</t>
  </si>
  <si>
    <t>Classroom_and_Library_Singles_60.png</t>
  </si>
  <si>
    <t>Classroom_and_Library_Singles_61.png</t>
  </si>
  <si>
    <t>Classroom_and_Library_Singles_62.png</t>
  </si>
  <si>
    <t>Classroom_and_Library_Singles_63.png</t>
  </si>
  <si>
    <t>Classroom_and_Library_Singles_64.png</t>
  </si>
  <si>
    <t>Classroom_and_Library_Singles_65.png</t>
  </si>
  <si>
    <t>Classroom_and_Library_Singles_66.png</t>
  </si>
  <si>
    <t>Classroom_and_Library_Singles_67.png</t>
  </si>
  <si>
    <t>Classroom_and_Library_Singles_68.png</t>
  </si>
  <si>
    <t>Classroom_and_Library_Singles_69.png</t>
  </si>
  <si>
    <t>Classroom_and_Library_Singles_70.png</t>
  </si>
  <si>
    <t>Classroom_and_Library_Singles_71.png</t>
  </si>
  <si>
    <t>Classroom_and_Library_Singles_72.png</t>
  </si>
  <si>
    <t>Classroom_and_Library_Singles_73.png</t>
  </si>
  <si>
    <t>Classroom_and_Library_Singles_74.png</t>
  </si>
  <si>
    <t>Classroom_and_Library_Singles_75.png</t>
  </si>
  <si>
    <t>Music_and_Sport_Singles_1.png</t>
  </si>
  <si>
    <t>upright piano, instrument, music</t>
  </si>
  <si>
    <t>Music_and_Sport_Singles_2.png</t>
  </si>
  <si>
    <t>upright piano, sheet, instrument, music</t>
  </si>
  <si>
    <t>Music_and_Sport_Singles_3.png</t>
  </si>
  <si>
    <t>upright piano, red, instrument, music</t>
  </si>
  <si>
    <t>Music_and_Sport_Singles_4.png</t>
  </si>
  <si>
    <t>upright piano, red, sheet, instrument, music</t>
  </si>
  <si>
    <t>Music_and_Sport_Singles_5.png</t>
  </si>
  <si>
    <t>upright piano, purple, instrument, music</t>
  </si>
  <si>
    <t>Music_and_Sport_Singles_6.png</t>
  </si>
  <si>
    <t>upright piano, purple, sheet, instrument, music</t>
  </si>
  <si>
    <t>Music_and_Sport_Singles_7.png</t>
  </si>
  <si>
    <t>Music_and_Sport_Singles_8.png</t>
  </si>
  <si>
    <t>Music_and_Sport_Singles_9.png</t>
  </si>
  <si>
    <t>Music_and_Sport_Singles_10.png</t>
  </si>
  <si>
    <t>Music_and_Sport_Singles_11.png</t>
  </si>
  <si>
    <t>Music_and_Sport_Singles_12.png</t>
  </si>
  <si>
    <t>Music_and_Sport_Singles_13.png</t>
  </si>
  <si>
    <t>Music_and_Sport_Singles_14.png</t>
  </si>
  <si>
    <t>Music_and_Sport_Singles_15.png</t>
  </si>
  <si>
    <t>Music_and_Sport_Singles_16.png</t>
  </si>
  <si>
    <t>Music_and_Sport_Singles_17.png</t>
  </si>
  <si>
    <t>Music_and_Sport_Singles_18.png</t>
  </si>
  <si>
    <t>Music_and_Sport_Singles_19.png</t>
  </si>
  <si>
    <t>Music_and_Sport_Singles_20.png</t>
  </si>
  <si>
    <t>Music_and_Sport_Singles_21.png</t>
  </si>
  <si>
    <t>Music_and_Sport_Singles_22.png</t>
  </si>
  <si>
    <t>Music_and_Sport_Singles_23.png</t>
  </si>
  <si>
    <t>Music_and_Sport_Singles_24.png</t>
  </si>
  <si>
    <t>Music_and_Sport_Singles_25.png</t>
  </si>
  <si>
    <t>piano duet bench, music</t>
  </si>
  <si>
    <t>Music_and_Sport_Singles_26.png</t>
  </si>
  <si>
    <t>Music_and_Sport_Singles_27.png</t>
  </si>
  <si>
    <t>piano duet bench, red, music</t>
  </si>
  <si>
    <t>Music_and_Sport_Singles_28.png</t>
  </si>
  <si>
    <t>grand piano, instrument, music</t>
  </si>
  <si>
    <t>Music_and_Sport_Singles_29.png</t>
  </si>
  <si>
    <t>Music_and_Sport_Singles_30.png</t>
  </si>
  <si>
    <t>Music_and_Sport_Singles_31.png</t>
  </si>
  <si>
    <t>Music_and_Sport_Singles_32.png</t>
  </si>
  <si>
    <t>Music_and_Sport_Singles_33.png</t>
  </si>
  <si>
    <t>Music_and_Sport_Singles_34.png</t>
  </si>
  <si>
    <t>Music_and_Sport_Singles_35.png</t>
  </si>
  <si>
    <t>Music_and_Sport_Singles_36.png</t>
  </si>
  <si>
    <t>Music_and_Sport_Singles_37.png</t>
  </si>
  <si>
    <t>drum kit, instrument, music</t>
  </si>
  <si>
    <t>Music_and_Sport_Singles_38.png</t>
  </si>
  <si>
    <t>Music_and_Sport_Singles_39.png</t>
  </si>
  <si>
    <t>Music_and_Sport_Singles_40.png</t>
  </si>
  <si>
    <t>Music_and_Sport_Singles_41.png</t>
  </si>
  <si>
    <t>Music_and_Sport_Singles_42.png</t>
  </si>
  <si>
    <t>Music_and_Sport_Singles_43.png</t>
  </si>
  <si>
    <t>loudspeaker, large, music</t>
  </si>
  <si>
    <t>Music_and_Sport_Singles_44.png</t>
  </si>
  <si>
    <t>loudspeaker, small, music</t>
  </si>
  <si>
    <t>Music_and_Sport_Singles_45.png</t>
  </si>
  <si>
    <t>classical guitar, instrument, music</t>
  </si>
  <si>
    <t>Music_and_Sport_Singles_46.png</t>
  </si>
  <si>
    <t>Music_and_Sport_Singles_47.png</t>
  </si>
  <si>
    <t>Music_and_Sport_Singles_48.png</t>
  </si>
  <si>
    <t>Music_and_Sport_Singles_49.png</t>
  </si>
  <si>
    <t>Music_and_Sport_Singles_50.png</t>
  </si>
  <si>
    <t>Music_and_Sport_Singles_51.png</t>
  </si>
  <si>
    <t>electric guitar, instrument, music</t>
  </si>
  <si>
    <t>Music_and_Sport_Singles_52.png</t>
  </si>
  <si>
    <t>Music_and_Sport_Singles_53.png</t>
  </si>
  <si>
    <t>Music_and_Sport_Singles_54.png</t>
  </si>
  <si>
    <t>Music_and_Sport_Singles_55.png</t>
  </si>
  <si>
    <t>Music_and_Sport_Singles_56.png</t>
  </si>
  <si>
    <t>Music_and_Sport_Singles_57.png</t>
  </si>
  <si>
    <t>harp, instrument, music</t>
  </si>
  <si>
    <t>Music_and_Sport_Singles_58.png</t>
  </si>
  <si>
    <t>Music_and_Sport_Singles_59.png</t>
  </si>
  <si>
    <t>Music_and_Sport_Singles_60.png</t>
  </si>
  <si>
    <t>harp, instrument, music, gold</t>
  </si>
  <si>
    <t>Music_and_Sport_Singles_61.png</t>
  </si>
  <si>
    <t>microphone, music</t>
  </si>
  <si>
    <t>Music_and_Sport_Singles_62.png</t>
  </si>
  <si>
    <t>Music_and_Sport_Singles_63.png</t>
  </si>
  <si>
    <t>Music_and_Sport_Singles_64.png</t>
  </si>
  <si>
    <t>Music_and_Sport_Singles_65.png</t>
  </si>
  <si>
    <t>Music_and_Sport_Singles_66.png</t>
  </si>
  <si>
    <t>synthesizer, instrument, music</t>
  </si>
  <si>
    <t>Music_and_Sport_Singles_67.png</t>
  </si>
  <si>
    <t>Music_and_Sport_Singles_68.png</t>
  </si>
  <si>
    <t>Music_and_Sport_Singles_69.png</t>
  </si>
  <si>
    <t>drum, instrument, music</t>
  </si>
  <si>
    <t>Music_and_Sport_Singles_70.png</t>
  </si>
  <si>
    <t>Music_and_Sport_Singles_71.png</t>
  </si>
  <si>
    <t>Music_and_Sport_Singles_72.png</t>
  </si>
  <si>
    <t>Music_and_Sport_Singles_76.png</t>
  </si>
  <si>
    <t>basketball hoop, sports</t>
  </si>
  <si>
    <t>Music_and_Sport_Singles_77.png</t>
  </si>
  <si>
    <t>ball, sports</t>
  </si>
  <si>
    <t>Music_and_Sport_Singles_78.png</t>
  </si>
  <si>
    <t>Music_and_Sport_Singles_79.png</t>
  </si>
  <si>
    <t>Music_and_Sport_Singles_80.png</t>
  </si>
  <si>
    <t>ball, broken, deflated, sports</t>
  </si>
  <si>
    <t>Music_and_Sport_Singles_81.png</t>
  </si>
  <si>
    <t>Music_and_Sport_Singles_82.png</t>
  </si>
  <si>
    <t>Music_and_Sport_Singles_83.png</t>
  </si>
  <si>
    <t>baseball bat, sports</t>
  </si>
  <si>
    <t>Music_and_Sport_Singles_84.png</t>
  </si>
  <si>
    <t>baseball ball, sports</t>
  </si>
  <si>
    <t>Music_and_Sport_Singles_85.png</t>
  </si>
  <si>
    <t>Music_and_Sport_Singles_86.png</t>
  </si>
  <si>
    <t>ball, red, sports</t>
  </si>
  <si>
    <t>Music_and_Sport_Singles_87.png</t>
  </si>
  <si>
    <t>ball, purple, sports</t>
  </si>
  <si>
    <t>Music_and_Sport_Singles_88.png</t>
  </si>
  <si>
    <t>ball, blue, sports</t>
  </si>
  <si>
    <t>Music_and_Sport_Singles_89.png</t>
  </si>
  <si>
    <t>ball, dark green, sports</t>
  </si>
  <si>
    <t>Music_and_Sport_Singles_90.png</t>
  </si>
  <si>
    <t>ball light green, sports</t>
  </si>
  <si>
    <t>Music_and_Sport_Singles_91.png</t>
  </si>
  <si>
    <t>Music_and_Sport_Singles_92.png</t>
  </si>
  <si>
    <t>Music_and_Sport_Singles_93.png</t>
  </si>
  <si>
    <t>Music_and_Sport_Singles_94.png</t>
  </si>
  <si>
    <t>Music_and_Sport_Singles_95.png</t>
  </si>
  <si>
    <t>Music_and_Sport_Singles_96.png</t>
  </si>
  <si>
    <t>Music_and_Sport_Singles_97.png</t>
  </si>
  <si>
    <t>Music_and_Sport_Singles_98.png</t>
  </si>
  <si>
    <t>Music_and_Sport_Singles_99.png</t>
  </si>
  <si>
    <t>Music_and_Sport_Singles_100.png</t>
  </si>
  <si>
    <t>Music_and_Sport_Singles_101.png</t>
  </si>
  <si>
    <t>Music_and_Sport_Singles_102.png</t>
  </si>
  <si>
    <t>Music_and_Sport_Singles_103.png</t>
  </si>
  <si>
    <t>Music_and_Sport_Singles_104.png</t>
  </si>
  <si>
    <t>Music_and_Sport_Singles_105.png</t>
  </si>
  <si>
    <t>Music_and_Sport_Singles_106.png</t>
  </si>
  <si>
    <t>Music_and_Sport_Singles_107.png</t>
  </si>
  <si>
    <t>Music_and_Sport_Singles_108.png</t>
  </si>
  <si>
    <t>framed medal gold, sports</t>
  </si>
  <si>
    <t>Music_and_Sport_Singles_109.png</t>
  </si>
  <si>
    <t>Music_and_Sport_Singles_110.png</t>
  </si>
  <si>
    <t>Music_and_Sport_Singles_111.png</t>
  </si>
  <si>
    <t>framed medal silver, sports</t>
  </si>
  <si>
    <t>Music_and_Sport_Singles_112.png</t>
  </si>
  <si>
    <t>Music_and_Sport_Singles_113.png</t>
  </si>
  <si>
    <t>Music_and_Sport_Singles_114.png</t>
  </si>
  <si>
    <t>framed medal bronze, sports</t>
  </si>
  <si>
    <t>Music_and_Sport_Singles_115.png</t>
  </si>
  <si>
    <t>Music_and_Sport_Singles_116.png</t>
  </si>
  <si>
    <t>Music_and_Sport_Singles_117.png</t>
  </si>
  <si>
    <t>Music_and_Sport_Singles_118.png</t>
  </si>
  <si>
    <t>Music_and_Sport_Singles_119.png</t>
  </si>
  <si>
    <t>Music_and_Sport_Singles_120.png</t>
  </si>
  <si>
    <t>Music_and_Sport_Singles_121.png</t>
  </si>
  <si>
    <t>Music_and_Sport_Singles_122.png</t>
  </si>
  <si>
    <t>Music_and_Sport_Singles_123.png</t>
  </si>
  <si>
    <t>Music_and_Sport_Singles_124.png</t>
  </si>
  <si>
    <t>Music_and_Sport_Singles_125.png</t>
  </si>
  <si>
    <t>Music_and_Sport_Singles_126.png</t>
  </si>
  <si>
    <t>Music_and_Sport_Singles_127.png</t>
  </si>
  <si>
    <t>Music_and_Sport_Singles_128.png</t>
  </si>
  <si>
    <t>Music_and_Sport_Singles_129.png</t>
  </si>
  <si>
    <t>Music_and_Sport_Singles_130.png</t>
  </si>
  <si>
    <t>Music_and_Sport_Singles_131.png</t>
  </si>
  <si>
    <t>Music_and_Sport_Singles_132.png</t>
  </si>
  <si>
    <t>trophy, bronze, sports</t>
  </si>
  <si>
    <t>Music_and_Sport_Singles_133.png</t>
  </si>
  <si>
    <t>Music_and_Sport_Singles_134.png</t>
  </si>
  <si>
    <t>Music_and_Sport_Singles_135.png</t>
  </si>
  <si>
    <t>trophy, silver, sports</t>
  </si>
  <si>
    <t>Music_and_Sport_Singles_136.png</t>
  </si>
  <si>
    <t>Music_and_Sport_Singles_137.png</t>
  </si>
  <si>
    <t>Music_and_Sport_Singles_138.png</t>
  </si>
  <si>
    <t>trophy, gold, sports</t>
  </si>
  <si>
    <t>Music_and_Sport_Singles_139.png</t>
  </si>
  <si>
    <t>Music_and_Sport_Singles_140.png</t>
  </si>
  <si>
    <t>Music_and_Sport_Singles_141.png</t>
  </si>
  <si>
    <t>Music_and_Sport_Singles_142.png</t>
  </si>
  <si>
    <t>Music_and_Sport_Singles_143.png</t>
  </si>
  <si>
    <t>Music_and_Sport_Singles_144.png</t>
  </si>
  <si>
    <t>Music_and_Sport_Singles_145.png</t>
  </si>
  <si>
    <t>Music_and_Sport_Singles_146.png</t>
  </si>
  <si>
    <t>Music_and_Sport_Singles_147.png</t>
  </si>
  <si>
    <t>trophy, sports</t>
  </si>
  <si>
    <t>Music_and_Sport_Singles_148.png</t>
  </si>
  <si>
    <t>Music_and_Sport_Singles_149.png</t>
  </si>
  <si>
    <t>Music_and_Sport_Singles_150.png</t>
  </si>
  <si>
    <t>shelf, small</t>
  </si>
  <si>
    <t>Music_and_Sport_Singles_151.png</t>
  </si>
  <si>
    <t>trophy bronze, sports, shelf</t>
  </si>
  <si>
    <t>Music_and_Sport_Singles_152.png</t>
  </si>
  <si>
    <t>traphy silver, sports, shelf</t>
  </si>
  <si>
    <t>Music_and_Sport_Singles_153.png</t>
  </si>
  <si>
    <t>trophy gold, sports, shelf</t>
  </si>
  <si>
    <t>Music_and_Sport_Singles_154.png</t>
  </si>
  <si>
    <t>trophy bronze, medal gold, sports, shelf</t>
  </si>
  <si>
    <t>Music_and_Sport_Singles_155.png</t>
  </si>
  <si>
    <t>trophy gold, medal silver, sports, shelf</t>
  </si>
  <si>
    <t>Music_and_Sport_Singles_156.png</t>
  </si>
  <si>
    <t>shelf, large, shelf</t>
  </si>
  <si>
    <t>Music_and_Sport_Singles_157.png</t>
  </si>
  <si>
    <t>trophies, medals, sports, shelf</t>
  </si>
  <si>
    <t>Music_and_Sport_Singles_158.png</t>
  </si>
  <si>
    <t>Music_and_Sport_Singles_159.png</t>
  </si>
  <si>
    <t>Music_and_Sport_Singles_160.png</t>
  </si>
  <si>
    <t>Music_and_Sport_Singles_161.png</t>
  </si>
  <si>
    <t>medal hanger, sports, shelf</t>
  </si>
  <si>
    <t>Music_and_Sport_Singles_162.png</t>
  </si>
  <si>
    <t>medals, medal hanger, sports</t>
  </si>
  <si>
    <t>Music_and_Sport_Singles_163.png</t>
  </si>
  <si>
    <t>trophies, sports</t>
  </si>
  <si>
    <t>Music_and_Sport_Singles_164.png</t>
  </si>
  <si>
    <t>Music_and_Sport_Singles_165.png</t>
  </si>
  <si>
    <t>Music_and_Sport_Singles_166.png</t>
  </si>
  <si>
    <t>synthesizer, red, instrument, music</t>
  </si>
  <si>
    <t>Music_and_Sport_Singles_167.png</t>
  </si>
  <si>
    <t>Music_and_Sport_Singles_168.png</t>
  </si>
  <si>
    <t>Music_and_Sport_Singles_169.png</t>
  </si>
  <si>
    <t>Music_and_Sport_Singles_170.png</t>
  </si>
  <si>
    <t>Music_and_Sport_Singles_171.png</t>
  </si>
  <si>
    <t>stool, music</t>
  </si>
  <si>
    <t>Music_and_Sport_Singles_172.png</t>
  </si>
  <si>
    <t>Music_and_Sport_Singles_173.png</t>
  </si>
  <si>
    <t>Music_and_Sport_Singles_174.png</t>
  </si>
  <si>
    <t>Music_and_Sport_Singles_175.png</t>
  </si>
  <si>
    <t>Music_and_Sport_Singles_176.png</t>
  </si>
  <si>
    <t>Music_and_Sport_Singles_177.png</t>
  </si>
  <si>
    <t>Music_and_Sport_Singles_178.png</t>
  </si>
  <si>
    <t>Music_and_Sport_Singles_179.png</t>
  </si>
  <si>
    <t>Music_and_Sport_Singles_180.png</t>
  </si>
  <si>
    <t>Music_and_Sport_Singles_181.png</t>
  </si>
  <si>
    <t>Music_and_Sport_Singles_182.png</t>
  </si>
  <si>
    <t>Music_and_Sport_Singles_183.png</t>
  </si>
  <si>
    <t>loudspeaker, music</t>
  </si>
  <si>
    <t>Music_and_Sport_Singles_184.png</t>
  </si>
  <si>
    <t>Music_and_Sport_Singles_185.png</t>
  </si>
  <si>
    <t>Music_and_Sport_Singles_186.png</t>
  </si>
  <si>
    <t>Music_and_Sport_Singles_187.png</t>
  </si>
  <si>
    <t>Music_and_Sport_Singles_188.png</t>
  </si>
  <si>
    <t>Music_and_Sport_Singles_189.png</t>
  </si>
  <si>
    <t>Music_and_Sport_Singles_190.png</t>
  </si>
  <si>
    <t>Music_and_Sport_Singles_191.png</t>
  </si>
  <si>
    <t>Music_and_Sport_Singles_192.png</t>
  </si>
  <si>
    <t>Music_and_Sport_Singles_193.png</t>
  </si>
  <si>
    <t>Music_and_Sport_Singles_194.png</t>
  </si>
  <si>
    <t>Music_and_Sport_Singles_195.png</t>
  </si>
  <si>
    <t>Music_and_Sport_Singles_196.png</t>
  </si>
  <si>
    <t>Music_and_Sport_Singles_197.png</t>
  </si>
  <si>
    <t>Music_and_Sport_Singles_198.png</t>
  </si>
  <si>
    <t>Music_and_Sport_Singles_199.png</t>
  </si>
  <si>
    <t>Music_and_Sport_Singles_200.png</t>
  </si>
  <si>
    <t>Music_and_Sport_Singles_201.png</t>
  </si>
  <si>
    <t>Music_and_Sport_Singles_202.png</t>
  </si>
  <si>
    <t>Music_and_Sport_Singles_203.png</t>
  </si>
  <si>
    <t>electric guitar, instrument, music, red</t>
  </si>
  <si>
    <t>Music_and_Sport_Singles_204.png</t>
  </si>
  <si>
    <t>electric guitar, instrument, music, blue</t>
  </si>
  <si>
    <t>Music_and_Sport_Singles_205.png</t>
  </si>
  <si>
    <t>electric guitar, instrument, music, purple</t>
  </si>
  <si>
    <t>Music_and_Sport_Singles_206.png</t>
  </si>
  <si>
    <t>Music_and_Sport_Singles_207.png</t>
  </si>
  <si>
    <t>Music_and_Sport_Singles_208.png</t>
  </si>
  <si>
    <t>Music_and_Sport_Singles_209.png</t>
  </si>
  <si>
    <t>Music_and_Sport_Singles_210.png</t>
  </si>
  <si>
    <t>Music_and_Sport_Singles_211.png</t>
  </si>
  <si>
    <t>Music_and_Sport_Singles_212.png</t>
  </si>
  <si>
    <t>Music_and_Sport_Singles_213.png</t>
  </si>
  <si>
    <t>Music_and_Sport_Singles_214.png</t>
  </si>
  <si>
    <t>Music_and_Sport_Singles_215.png</t>
  </si>
  <si>
    <t>Music_and_Sport_Singles_216.png</t>
  </si>
  <si>
    <t>Music_and_Sport_Singles_217.png</t>
  </si>
  <si>
    <t>Music_and_Sport_Singles_218.png</t>
  </si>
  <si>
    <t>Music_and_Sport_Singles_219.png</t>
  </si>
  <si>
    <t>Music_and_Sport_Singles_220.png</t>
  </si>
  <si>
    <t>Music_and_Sport_Singles_221.png</t>
  </si>
  <si>
    <t>Music_and_Sport_Singles_222.png</t>
  </si>
  <si>
    <t>Music_and_Sport_Singles_223.png</t>
  </si>
  <si>
    <t>Music_and_Sport_Singles_224.png</t>
  </si>
  <si>
    <t>Music_and_Sport_Singles_225.png</t>
  </si>
  <si>
    <t>Music_and_Sport_Singles_226.png</t>
  </si>
  <si>
    <t>Music_and_Sport_Singles_227.png</t>
  </si>
  <si>
    <t>Music_and_Sport_Singles_228.png</t>
  </si>
  <si>
    <t>Music_and_Sport_Singles_229.png</t>
  </si>
  <si>
    <t>Music_and_Sport_Singles_230.png</t>
  </si>
  <si>
    <t>Music_and_Sport_Singles_231.png</t>
  </si>
  <si>
    <t>Music_and_Sport_Singles_232.png</t>
  </si>
  <si>
    <t>Music_and_Sport_Singles_233.png</t>
  </si>
  <si>
    <t>Music_and_Sport_Singles_234.png</t>
  </si>
  <si>
    <t>Music_and_Sport_Singles_235.png</t>
  </si>
  <si>
    <t>Music_and_Sport_Singles_236.png</t>
  </si>
  <si>
    <t>Music_and_Sport_Singles_237.png</t>
  </si>
  <si>
    <t>Music_and_Sport_Singles_238.png</t>
  </si>
  <si>
    <t>Music_and_Sport_Singles_239.png</t>
  </si>
  <si>
    <t>Music_and_Sport_Singles_240.png</t>
  </si>
  <si>
    <t>Music_and_Sport_Singles_241.png</t>
  </si>
  <si>
    <t>Music_and_Sport_Singles_242.png</t>
  </si>
  <si>
    <t>Music_and_Sport_Singles_243.png</t>
  </si>
  <si>
    <t>basketball, hoop, sports</t>
  </si>
  <si>
    <t>Music_and_Sport_Singles_244.png</t>
  </si>
  <si>
    <t>ball</t>
  </si>
  <si>
    <t>Music_and_Sport_Singles_245.png</t>
  </si>
  <si>
    <t>Music_and_Sport_Singles_246.png</t>
  </si>
  <si>
    <t>Music_and_Sport_Singles_247.png</t>
  </si>
  <si>
    <t>Music_and_Sport_Singles_248.png</t>
  </si>
  <si>
    <t>Music_and_Sport_Singles_249.png</t>
  </si>
  <si>
    <t>Art_Singles_1.png</t>
  </si>
  <si>
    <t>vase, pottery</t>
  </si>
  <si>
    <t>Art_Singles_2.png</t>
  </si>
  <si>
    <t>Art_Singles_3.png</t>
  </si>
  <si>
    <t>Art_Singles_4.png</t>
  </si>
  <si>
    <t>Art_Singles_5.png</t>
  </si>
  <si>
    <t>Art_Singles_6.png</t>
  </si>
  <si>
    <t>Art_Singles_7.png</t>
  </si>
  <si>
    <t>Art_Singles_8.png</t>
  </si>
  <si>
    <t>Art_Singles_9.png</t>
  </si>
  <si>
    <t>vases, pottery</t>
  </si>
  <si>
    <t>Art_Singles_10.png</t>
  </si>
  <si>
    <t>Art_Singles_11.png</t>
  </si>
  <si>
    <t>Art_Singles_12.png</t>
  </si>
  <si>
    <t>paint, bucket, purple</t>
  </si>
  <si>
    <t>Art_Singles_13.png</t>
  </si>
  <si>
    <t>paint, bucket, yellow</t>
  </si>
  <si>
    <t>Art_Singles_14.png</t>
  </si>
  <si>
    <t>paint, bucket, green</t>
  </si>
  <si>
    <t>Art_Singles_15.png</t>
  </si>
  <si>
    <t>paint, bucket, blue</t>
  </si>
  <si>
    <t>Art_Singles_16.png</t>
  </si>
  <si>
    <t>paint, bucket, red</t>
  </si>
  <si>
    <t>Art_Singles_17.png</t>
  </si>
  <si>
    <t>Art_Singles_18.png</t>
  </si>
  <si>
    <t>paint, stain</t>
  </si>
  <si>
    <t>Art_Singles_19.png</t>
  </si>
  <si>
    <t>paint, buckets, dirty, stain</t>
  </si>
  <si>
    <t>Art_Singles_20.png</t>
  </si>
  <si>
    <t>Art_Singles_21.png</t>
  </si>
  <si>
    <t>plant, bonsai</t>
  </si>
  <si>
    <t>Art_Singles_22.png</t>
  </si>
  <si>
    <t>table, wood</t>
  </si>
  <si>
    <t>Art_Singles_23.png</t>
  </si>
  <si>
    <t>table, wood, art supplies, pencil, painiting</t>
  </si>
  <si>
    <t>Art_Singles_24.png</t>
  </si>
  <si>
    <t>Art_Singles_25.png</t>
  </si>
  <si>
    <t>Art_Singles_26.png</t>
  </si>
  <si>
    <t>Art_Singles_27.png</t>
  </si>
  <si>
    <t>Art_Singles_28.png</t>
  </si>
  <si>
    <t>Art_Singles_29.png</t>
  </si>
  <si>
    <t>Art_Singles_30.png</t>
  </si>
  <si>
    <t>stool, wood</t>
  </si>
  <si>
    <t>Art_Singles_31.png</t>
  </si>
  <si>
    <t>Art_Singles_32.png</t>
  </si>
  <si>
    <t>Art_Singles_33.png</t>
  </si>
  <si>
    <t>stool, wood, stacked</t>
  </si>
  <si>
    <t>Art_Singles_34.png</t>
  </si>
  <si>
    <t>easel, painting, blank canvas</t>
  </si>
  <si>
    <t>Art_Singles_35.png</t>
  </si>
  <si>
    <t>easel, painting, canvas</t>
  </si>
  <si>
    <t>Art_Singles_36.png</t>
  </si>
  <si>
    <t>Art_Singles_37.png</t>
  </si>
  <si>
    <t>Art_Singles_38.png</t>
  </si>
  <si>
    <t>Art_Singles_39.png</t>
  </si>
  <si>
    <t>Art_Singles_40.png</t>
  </si>
  <si>
    <t>Art_Singles_41.png</t>
  </si>
  <si>
    <t>painting, canvas, frame</t>
  </si>
  <si>
    <t>Art_Singles_42.png</t>
  </si>
  <si>
    <t>Art_Singles_43.png</t>
  </si>
  <si>
    <t>Art_Singles_44.png</t>
  </si>
  <si>
    <t>Art_Singles_45.png</t>
  </si>
  <si>
    <t>Art_Singles_46.png</t>
  </si>
  <si>
    <t>Gym_Singles_1.png</t>
  </si>
  <si>
    <t>gym flooring, rubber mat, gray</t>
  </si>
  <si>
    <t>Gym_Singles_2.png</t>
  </si>
  <si>
    <t>Gym_Singles_3.png</t>
  </si>
  <si>
    <t>Gym_Singles_4.png</t>
  </si>
  <si>
    <t>Gym_Singles_5.png</t>
  </si>
  <si>
    <t>Gym_Singles_6.png</t>
  </si>
  <si>
    <t>Gym_Singles_7.png</t>
  </si>
  <si>
    <t>Gym_Singles_8.png</t>
  </si>
  <si>
    <t>Gym_Singles_9.png</t>
  </si>
  <si>
    <t>Gym_Singles_10.png</t>
  </si>
  <si>
    <t>Gym_Singles_11.png</t>
  </si>
  <si>
    <t>Gym_Singles_12.png</t>
  </si>
  <si>
    <t>Gym_Singles_13.png</t>
  </si>
  <si>
    <t>Gym_Singles_14.png</t>
  </si>
  <si>
    <t>Gym_Singles_15.png</t>
  </si>
  <si>
    <t>Gym_Singles_16.png</t>
  </si>
  <si>
    <t>Gym_Singles_17.png</t>
  </si>
  <si>
    <t>Gym_Singles_18.png</t>
  </si>
  <si>
    <t>Gym_Singles_19.png</t>
  </si>
  <si>
    <t>gym flooring, rubber mat, red</t>
  </si>
  <si>
    <t>Gym_Singles_20.png</t>
  </si>
  <si>
    <t>Gym_Singles_21.png</t>
  </si>
  <si>
    <t>Gym_Singles_22.png</t>
  </si>
  <si>
    <t>Gym_Singles_23.png</t>
  </si>
  <si>
    <t>Gym_Singles_24.png</t>
  </si>
  <si>
    <t>Gym_Singles_25.png</t>
  </si>
  <si>
    <t>Gym_Singles_26.png</t>
  </si>
  <si>
    <t>Gym_Singles_27.png</t>
  </si>
  <si>
    <t>Gym_Singles_28.png</t>
  </si>
  <si>
    <t>Gym_Singles_29.png</t>
  </si>
  <si>
    <t>Gym_Singles_30.png</t>
  </si>
  <si>
    <t>Gym_Singles_31.png</t>
  </si>
  <si>
    <t>Gym_Singles_32.png</t>
  </si>
  <si>
    <t>Gym_Singles_33.png</t>
  </si>
  <si>
    <t>Gym_Singles_34.png</t>
  </si>
  <si>
    <t>Gym_Singles_35.png</t>
  </si>
  <si>
    <t>Gym_Singles_36.png</t>
  </si>
  <si>
    <t>Gym_Singles_37.png</t>
  </si>
  <si>
    <t>gym flooring, rubber mat, blue</t>
  </si>
  <si>
    <t>Gym_Singles_38.png</t>
  </si>
  <si>
    <t>Gym_Singles_39.png</t>
  </si>
  <si>
    <t>Gym_Singles_40.png</t>
  </si>
  <si>
    <t>Gym_Singles_41.png</t>
  </si>
  <si>
    <t>Gym_Singles_42.png</t>
  </si>
  <si>
    <t>Gym_Singles_43.png</t>
  </si>
  <si>
    <t>Gym_Singles_44.png</t>
  </si>
  <si>
    <t>Gym_Singles_45.png</t>
  </si>
  <si>
    <t>Gym_Singles_46.png</t>
  </si>
  <si>
    <t>Gym_Singles_47.png</t>
  </si>
  <si>
    <t>Gym_Singles_48.png</t>
  </si>
  <si>
    <t>Gym_Singles_49.png</t>
  </si>
  <si>
    <t>Gym_Singles_50.png</t>
  </si>
  <si>
    <t>Gym_Singles_51.png</t>
  </si>
  <si>
    <t>Gym_Singles_52.png</t>
  </si>
  <si>
    <t>Gym_Singles_53.png</t>
  </si>
  <si>
    <t>Gym_Singles_54.png</t>
  </si>
  <si>
    <t>Gym_Singles_55.png</t>
  </si>
  <si>
    <t>gym flooring, rubber mat, gray, checkerboard</t>
  </si>
  <si>
    <t>Gym_Singles_56.png</t>
  </si>
  <si>
    <t>Gym_Singles_57.png</t>
  </si>
  <si>
    <t>Gym_Singles_58.png</t>
  </si>
  <si>
    <t>Gym_Singles_59.png</t>
  </si>
  <si>
    <t>Gym_Singles_60.png</t>
  </si>
  <si>
    <t>Gym_Singles_61.png</t>
  </si>
  <si>
    <t>Gym_Singles_62.png</t>
  </si>
  <si>
    <t>Gym_Singles_63.png</t>
  </si>
  <si>
    <t>Gym_Singles_64.png</t>
  </si>
  <si>
    <t>punching bag</t>
  </si>
  <si>
    <t>Gym_Singles_65.png</t>
  </si>
  <si>
    <t>Gym_Singles_66.png</t>
  </si>
  <si>
    <t>Gym_Singles_67.png</t>
  </si>
  <si>
    <t>Gym_Singles_68.png</t>
  </si>
  <si>
    <t>punching water bag</t>
  </si>
  <si>
    <t>Gym_Singles_69.png</t>
  </si>
  <si>
    <t>Gym_Singles_70.png</t>
  </si>
  <si>
    <t>bike pump, air pump, brown</t>
  </si>
  <si>
    <t>Gym_Singles_71.png</t>
  </si>
  <si>
    <t>bike pump, air pump, red</t>
  </si>
  <si>
    <t>Gym_Singles_72.png</t>
  </si>
  <si>
    <t>bike pump, air pump, gray</t>
  </si>
  <si>
    <t>Gym_Singles_73.png</t>
  </si>
  <si>
    <t>exercise ball, blue</t>
  </si>
  <si>
    <t>Gym_Singles_74.png</t>
  </si>
  <si>
    <t>Gym_Singles_75.png</t>
  </si>
  <si>
    <t>exercise ball, red</t>
  </si>
  <si>
    <t>Gym_Singles_76.png</t>
  </si>
  <si>
    <t>Gym_Singles_77.png</t>
  </si>
  <si>
    <t>exercise ball, pink</t>
  </si>
  <si>
    <t>Gym_Singles_78.png</t>
  </si>
  <si>
    <t>Gym_Singles_79.png</t>
  </si>
  <si>
    <t>exercise ball, blue, deflated</t>
  </si>
  <si>
    <t>Gym_Singles_80.png</t>
  </si>
  <si>
    <t>exercise ball, red, deflated</t>
  </si>
  <si>
    <t>Gym_Singles_81.png</t>
  </si>
  <si>
    <t>exercise ball, pink. deflated</t>
  </si>
  <si>
    <t>Gym_Singles_82.png</t>
  </si>
  <si>
    <t>weights, dumbbell</t>
  </si>
  <si>
    <t>Gym_Singles_83.png</t>
  </si>
  <si>
    <t>Gym_Singles_84.png</t>
  </si>
  <si>
    <t>Gym_Singles_85.png</t>
  </si>
  <si>
    <t>Gym_Singles_86.png</t>
  </si>
  <si>
    <t>Gym_Singles_87.png</t>
  </si>
  <si>
    <t>weights, barbell</t>
  </si>
  <si>
    <t>Gym_Singles_88.png</t>
  </si>
  <si>
    <t>Gym_Singles_89.png</t>
  </si>
  <si>
    <t>Gym_Singles_90.png</t>
  </si>
  <si>
    <t>Gym_Singles_91.png</t>
  </si>
  <si>
    <t>lat pulldown machine</t>
  </si>
  <si>
    <t>Gym_Singles_92.png</t>
  </si>
  <si>
    <t>chest press</t>
  </si>
  <si>
    <t>Gym_Singles_93.png</t>
  </si>
  <si>
    <t>stepper</t>
  </si>
  <si>
    <t>Gym_Singles_94.png</t>
  </si>
  <si>
    <t>exercise bike, spinning bike</t>
  </si>
  <si>
    <t>Gym_Singles_95.png</t>
  </si>
  <si>
    <t>treadmill</t>
  </si>
  <si>
    <t>Gym_Singles_96.png</t>
  </si>
  <si>
    <t>bench press</t>
  </si>
  <si>
    <t>Gym_Singles_97.png</t>
  </si>
  <si>
    <t>Gym_Singles_98.png</t>
  </si>
  <si>
    <t>barbell</t>
  </si>
  <si>
    <t>Gym_Singles_99.png</t>
  </si>
  <si>
    <t>Gym_Singles_100.png</t>
  </si>
  <si>
    <t>radio</t>
  </si>
  <si>
    <t>Gym_Singles_101.png</t>
  </si>
  <si>
    <t>Gym_Singles_102.png</t>
  </si>
  <si>
    <t>tire, stacked</t>
  </si>
  <si>
    <t>Gym_Singles_103.png</t>
  </si>
  <si>
    <t>Gym_Singles_104.png</t>
  </si>
  <si>
    <t>tire</t>
  </si>
  <si>
    <t>Gym_Singles_105.png</t>
  </si>
  <si>
    <t>Gym_Singles_106.png</t>
  </si>
  <si>
    <t>gym kettlebell</t>
  </si>
  <si>
    <t>Gym_Singles_107.png</t>
  </si>
  <si>
    <t>Gym_Singles_108.png</t>
  </si>
  <si>
    <t>dumbbell</t>
  </si>
  <si>
    <t>Gym_Singles_109.png</t>
  </si>
  <si>
    <t>Gym_Singles_110.png</t>
  </si>
  <si>
    <t>dumbbell, blue</t>
  </si>
  <si>
    <t>Gym_Singles_111.png</t>
  </si>
  <si>
    <t>Gym_Singles_112.png</t>
  </si>
  <si>
    <t>dumbbell, red</t>
  </si>
  <si>
    <t>Gym_Singles_113.png</t>
  </si>
  <si>
    <t>Gym_Singles_114.png</t>
  </si>
  <si>
    <t>gym mat</t>
  </si>
  <si>
    <t>Gym_Singles_115.png</t>
  </si>
  <si>
    <t>Gym_Singles_116.png</t>
  </si>
  <si>
    <t>Gym_Singles_117.png</t>
  </si>
  <si>
    <t>Gym_Singles_118.png</t>
  </si>
  <si>
    <t>Gym_Singles_119.png</t>
  </si>
  <si>
    <t>Gym_Singles_120.png</t>
  </si>
  <si>
    <t>gym ball, red</t>
  </si>
  <si>
    <t>Gym_Singles_121.png</t>
  </si>
  <si>
    <t>gym ball, blue</t>
  </si>
  <si>
    <t>Gym_Singles_122.png</t>
  </si>
  <si>
    <t>gym ball, green</t>
  </si>
  <si>
    <t>Gym_Singles_123.png</t>
  </si>
  <si>
    <t>gym ball, gray</t>
  </si>
  <si>
    <t>Gym_Singles_124.png</t>
  </si>
  <si>
    <t>Gym_Singles_125.png</t>
  </si>
  <si>
    <t>Gym_Singles_126.png</t>
  </si>
  <si>
    <t>Gym_Singles_127.png</t>
  </si>
  <si>
    <t>Gym_Singles_128.png</t>
  </si>
  <si>
    <t>Gym_Singles_129.png</t>
  </si>
  <si>
    <t>Gym_Singles_130.png</t>
  </si>
  <si>
    <t>Gym_Singles_131.png</t>
  </si>
  <si>
    <t>Gym_Singles_132.png</t>
  </si>
  <si>
    <t>Gym_Singles_133.png</t>
  </si>
  <si>
    <t>Gym_Singles_134.png</t>
  </si>
  <si>
    <t>Gym_Singles_135.png</t>
  </si>
  <si>
    <t>Gym_Singles_136.png</t>
  </si>
  <si>
    <t>Gym_Singles_137.png</t>
  </si>
  <si>
    <t>Gym_Singles_138.png</t>
  </si>
  <si>
    <t>Gym_Singles_139.png</t>
  </si>
  <si>
    <t>Gym_Singles_140.png</t>
  </si>
  <si>
    <t>Gym_Singles_141.png</t>
  </si>
  <si>
    <t>Gym_Singles_142.png</t>
  </si>
  <si>
    <t>Gym_Singles_143.png</t>
  </si>
  <si>
    <t>Gym_Singles_144.png</t>
  </si>
  <si>
    <t>Gym_Singles_145.png</t>
  </si>
  <si>
    <t>Gym_Singles_146.png</t>
  </si>
  <si>
    <t>Gym_Singles_147.png</t>
  </si>
  <si>
    <t>Gym_Singles_148.png</t>
  </si>
  <si>
    <t>Gym_Singles_149.png</t>
  </si>
  <si>
    <t>Gym_Singles_150.png</t>
  </si>
  <si>
    <t>Gym_Singles_151.png</t>
  </si>
  <si>
    <t>Gym_Singles_155.png</t>
  </si>
  <si>
    <t>Gym_Singles_156.png</t>
  </si>
  <si>
    <t>Gym_Singles_157.png</t>
  </si>
  <si>
    <t>Gym_Singles_158.png</t>
  </si>
  <si>
    <t>Gym_Singles_159.png</t>
  </si>
  <si>
    <t>Gym_Singles_160.png</t>
  </si>
  <si>
    <t>Gym_Singles_161.png</t>
  </si>
  <si>
    <t>Gym_Singles_162.png</t>
  </si>
  <si>
    <t>Gym_Singles_163.png</t>
  </si>
  <si>
    <t>barbell plate</t>
  </si>
  <si>
    <t>Gym_Singles_164.png</t>
  </si>
  <si>
    <t>barbell plates, stacked</t>
  </si>
  <si>
    <t>Gym_Singles_165.png</t>
  </si>
  <si>
    <t>Gym_Singles_166.png</t>
  </si>
  <si>
    <t>shelves</t>
  </si>
  <si>
    <t>Gym_Singles_167.png</t>
  </si>
  <si>
    <t>dumbbell, shelves</t>
  </si>
  <si>
    <t>Gym_Singles_168.png</t>
  </si>
  <si>
    <t>Gym_Singles_169.png</t>
  </si>
  <si>
    <t>Gym_Singles_170.png</t>
  </si>
  <si>
    <t>Gym_Singles_171.png</t>
  </si>
  <si>
    <t>Gym_Singles_172.png</t>
  </si>
  <si>
    <t>Gym_Singles_173.png</t>
  </si>
  <si>
    <t>Gym_Singles_174.png</t>
  </si>
  <si>
    <t>Gym_Singles_175.png</t>
  </si>
  <si>
    <t>punching bag, boxing</t>
  </si>
  <si>
    <t>Gym_Singles_176.png</t>
  </si>
  <si>
    <t>Gym_Singles_177.png</t>
  </si>
  <si>
    <t>Gym_Singles_178.png</t>
  </si>
  <si>
    <t>Gym_Singles_179.png</t>
  </si>
  <si>
    <t>Gym_Singles_180.png</t>
  </si>
  <si>
    <t>Gym_Singles_181.png</t>
  </si>
  <si>
    <t>Gym_Singles_182.png</t>
  </si>
  <si>
    <t>Gym_Singles_183.png</t>
  </si>
  <si>
    <t>Gym_Singles_184.png</t>
  </si>
  <si>
    <t>radio, gym</t>
  </si>
  <si>
    <t>Gym_Singles_185.png</t>
  </si>
  <si>
    <t>Gym_Singles_186.png</t>
  </si>
  <si>
    <t>Gym_Singles_187.png</t>
  </si>
  <si>
    <t>Gym_Singles_188.png</t>
  </si>
  <si>
    <t>Gym_Singles_189.png</t>
  </si>
  <si>
    <t>Gym_Singles_190.png</t>
  </si>
  <si>
    <t>Gym_Singles_191.png</t>
  </si>
  <si>
    <t>Gym_Singles_192.png</t>
  </si>
  <si>
    <t>Gym_Singles_193.png</t>
  </si>
  <si>
    <t>Gym_Singles_194.png</t>
  </si>
  <si>
    <t>Gym_Singles_195.png</t>
  </si>
  <si>
    <t>gym mat, green</t>
  </si>
  <si>
    <t>Gym_Singles_196.png</t>
  </si>
  <si>
    <t>Gym_Singles_197.png</t>
  </si>
  <si>
    <t>gym mat, yellow</t>
  </si>
  <si>
    <t>Gym_Singles_198.png</t>
  </si>
  <si>
    <t>Gym_Singles_199.png</t>
  </si>
  <si>
    <t>Gym_Singles_200.png</t>
  </si>
  <si>
    <t>Gym_Singles_201.png</t>
  </si>
  <si>
    <t>Gym_Singles_202.png</t>
  </si>
  <si>
    <t>Gym_Singles_203.png</t>
  </si>
  <si>
    <t>Gym_Singles_204.png</t>
  </si>
  <si>
    <t>Gym_Singles_205.png</t>
  </si>
  <si>
    <t>Gym_Singles_206.png</t>
  </si>
  <si>
    <t>Gym_Singles_207.png</t>
  </si>
  <si>
    <t>Gym_Singles_208.png</t>
  </si>
  <si>
    <t>Gym_Singles_209.png</t>
  </si>
  <si>
    <t>Fishing_Singles_1.png</t>
  </si>
  <si>
    <t>Fishing_Singles_2.png</t>
  </si>
  <si>
    <t>Fishing_Singles_3.png</t>
  </si>
  <si>
    <t>Fishing_Singles_4.png</t>
  </si>
  <si>
    <t>Fishing_Singles_5.png</t>
  </si>
  <si>
    <t>Fishing_Singles_6.png</t>
  </si>
  <si>
    <t>Fishing_Singles_7.png</t>
  </si>
  <si>
    <t>Fishing_Singles_8.png</t>
  </si>
  <si>
    <t>Fishing_Singles_9.png</t>
  </si>
  <si>
    <t>Fishing_Singles_10.png</t>
  </si>
  <si>
    <t>Fishing_Singles_11.png</t>
  </si>
  <si>
    <t>Fishing_Singles_12.png</t>
  </si>
  <si>
    <t>Fishing_Singles_13.png</t>
  </si>
  <si>
    <t>Fishing_Singles_14.png</t>
  </si>
  <si>
    <t>Fishing_Singles_15.png</t>
  </si>
  <si>
    <t>Fishing_Singles_16.png</t>
  </si>
  <si>
    <t>Fishing_Singles_17.png</t>
  </si>
  <si>
    <t>Fishing_Singles_18.png</t>
  </si>
  <si>
    <t>Fishing_Singles_19.png</t>
  </si>
  <si>
    <t>Fishing_Singles_20.png</t>
  </si>
  <si>
    <t>Fishing_Singles_21.png</t>
  </si>
  <si>
    <t>Fishing_Singles_22.png</t>
  </si>
  <si>
    <t>Fishing_Singles_23.png</t>
  </si>
  <si>
    <t>Fishing_Singles_24.png</t>
  </si>
  <si>
    <t>Fishing_Singles_25.png</t>
  </si>
  <si>
    <t>Fishing_Singles_26.png</t>
  </si>
  <si>
    <t>Fishing_Singles_27.png</t>
  </si>
  <si>
    <t>Fishing_Singles_28.png</t>
  </si>
  <si>
    <t>Fishing_Singles_29.png</t>
  </si>
  <si>
    <t>Fishing_Singles_30.png</t>
  </si>
  <si>
    <t>Fishing_Singles_31.png</t>
  </si>
  <si>
    <t>Fishing_Singles_32.png</t>
  </si>
  <si>
    <t>Fishing_Singles_33.png</t>
  </si>
  <si>
    <t>Fishing_Singles_34.png</t>
  </si>
  <si>
    <t>Fishing_Singles_35.png</t>
  </si>
  <si>
    <t>Fishing_Singles_36.png</t>
  </si>
  <si>
    <t>Fishing_Singles_37.png</t>
  </si>
  <si>
    <t>Fishing_Singles_38.png</t>
  </si>
  <si>
    <t>Fishing_Singles_39.png</t>
  </si>
  <si>
    <t>Fishing_Singles_40.png</t>
  </si>
  <si>
    <t>Fishing_Singles_41.png</t>
  </si>
  <si>
    <t>Fishing_Singles_42.png</t>
  </si>
  <si>
    <t>Fishing_Singles_43.png</t>
  </si>
  <si>
    <t>Fishing_Singles_44.png</t>
  </si>
  <si>
    <t>Fishing_Singles_45.png</t>
  </si>
  <si>
    <t>Fishing_Singles_46.png</t>
  </si>
  <si>
    <t>Fishing_Singles_47.png</t>
  </si>
  <si>
    <t>Fishing_Singles_48.png</t>
  </si>
  <si>
    <t>Fishing_Singles_49.png</t>
  </si>
  <si>
    <t>Fishing_Singles_50.png</t>
  </si>
  <si>
    <t>Fishing_Singles_51.png</t>
  </si>
  <si>
    <t>Fishing_Singles_52.png</t>
  </si>
  <si>
    <t>Fishing_Singles_53.png</t>
  </si>
  <si>
    <t>Fishing_Singles_54.png</t>
  </si>
  <si>
    <t>Fishing_Singles_55.png</t>
  </si>
  <si>
    <t>Fishing_Singles_56.png</t>
  </si>
  <si>
    <t>Fishing_Singles_57.png</t>
  </si>
  <si>
    <t>Fishing_Singles_58.png</t>
  </si>
  <si>
    <t>Fishing_Singles_59.png</t>
  </si>
  <si>
    <t>Fishing_Singles_60.png</t>
  </si>
  <si>
    <t>Fishing_Singles_61.png</t>
  </si>
  <si>
    <t>Fishing_Singles_62.png</t>
  </si>
  <si>
    <t>Fishing_Singles_63.png</t>
  </si>
  <si>
    <t>Fishing_Singles_64.png</t>
  </si>
  <si>
    <t>Fishing_Singles_65.png</t>
  </si>
  <si>
    <t>Fishing_Singles_66.png</t>
  </si>
  <si>
    <t>Fishing_Singles_67.png</t>
  </si>
  <si>
    <t>Fishing_Singles_68.png</t>
  </si>
  <si>
    <t>Fishing_Singles_69.png</t>
  </si>
  <si>
    <t>Fishing_Singles_70.png</t>
  </si>
  <si>
    <t>Fishing_Singles_71.png</t>
  </si>
  <si>
    <t>Fishing_Singles_72.png</t>
  </si>
  <si>
    <t>Fishing_Singles_73.png</t>
  </si>
  <si>
    <t>Fishing_Singles_74.png</t>
  </si>
  <si>
    <t>Fishing_Singles_75.png</t>
  </si>
  <si>
    <t>Fishing_Singles_76.png</t>
  </si>
  <si>
    <t>Fishing_Singles_77.png</t>
  </si>
  <si>
    <t>Birthday_Party_Singles_1.png</t>
  </si>
  <si>
    <t>Birthday_Party_Singles_2.png</t>
  </si>
  <si>
    <t>Birthday_Party_Singles_3.png</t>
  </si>
  <si>
    <t>Birthday_Party_Singles_4.png</t>
  </si>
  <si>
    <t>Birthday_Party_Singles_5.png</t>
  </si>
  <si>
    <t>Birthday_Party_Singles_6.png</t>
  </si>
  <si>
    <t>Birthday_Party_Singles_7.png</t>
  </si>
  <si>
    <t>Birthday_Party_Singles_8.png</t>
  </si>
  <si>
    <t>Birthday_Party_Singles_9.png</t>
  </si>
  <si>
    <t>Birthday_Party_Singles_10.png</t>
  </si>
  <si>
    <t>Birthday_Party_Singles_11.png</t>
  </si>
  <si>
    <t>Birthday_Party_Singles_12.png</t>
  </si>
  <si>
    <t>Birthday_Party_Singles_13.png</t>
  </si>
  <si>
    <t>Birthday_Party_Singles_14.png</t>
  </si>
  <si>
    <t>Birthday_Party_Singles_15.png</t>
  </si>
  <si>
    <t>Birthday_Party_Singles_16.png</t>
  </si>
  <si>
    <t>Birthday_Party_Singles_17.png</t>
  </si>
  <si>
    <t>Birthday_Party_Singles_18.png</t>
  </si>
  <si>
    <t>Birthday_Party_Singles_19.png</t>
  </si>
  <si>
    <t>Birthday_Party_Singles_20.png</t>
  </si>
  <si>
    <t>Birthday_Party_Singles_21.png</t>
  </si>
  <si>
    <t>Birthday_Party_Singles_22.png</t>
  </si>
  <si>
    <t>Birthday_Party_Singles_23.png</t>
  </si>
  <si>
    <t>Birthday_Party_Singles_24.png</t>
  </si>
  <si>
    <t>Birthday_Party_Singles_25.png</t>
  </si>
  <si>
    <t>Birthday_Party_Singles_26.png</t>
  </si>
  <si>
    <t>Birthday_Party_Singles_27.png</t>
  </si>
  <si>
    <t>Birthday_Party_Singles_28.png</t>
  </si>
  <si>
    <t>Birthday_Party_Singles_29.png</t>
  </si>
  <si>
    <t>Birthday_Party_Singles_30.png</t>
  </si>
  <si>
    <t>Birthday_Party_Singles_31.png</t>
  </si>
  <si>
    <t>Birthday_Party_Singles_32.png</t>
  </si>
  <si>
    <t>Birthday_Party_Singles_33.png</t>
  </si>
  <si>
    <t>Birthday_Party_Singles_34.png</t>
  </si>
  <si>
    <t>Birthday_Party_Singles_35.png</t>
  </si>
  <si>
    <t>Birthday_Party_Singles_36.png</t>
  </si>
  <si>
    <t>Birthday_Party_Singles_37.png</t>
  </si>
  <si>
    <t>Birthday_Party_Singles_38.png</t>
  </si>
  <si>
    <t>Birthday_Party_Singles_39.png</t>
  </si>
  <si>
    <t>Birthday_Party_Singles_40.png</t>
  </si>
  <si>
    <t>Birthday_Party_Singles_41.png</t>
  </si>
  <si>
    <t>Birthday_Party_Singles_42.png</t>
  </si>
  <si>
    <t>Birthday_Party_Singles_43.png</t>
  </si>
  <si>
    <t>Birthday_Party_Singles_44.png</t>
  </si>
  <si>
    <t>Birthday_Party_Singles_45.png</t>
  </si>
  <si>
    <t>Birthday_Party_Singles_46.png</t>
  </si>
  <si>
    <t>Halloween_Singles_1.png</t>
  </si>
  <si>
    <t>Halloween_Singles_2.png</t>
  </si>
  <si>
    <t>Halloween_Singles_3.png</t>
  </si>
  <si>
    <t>Halloween_Singles_4.png</t>
  </si>
  <si>
    <t>Halloween_Singles_5.png</t>
  </si>
  <si>
    <t>Halloween_Singles_6.png</t>
  </si>
  <si>
    <t>Halloween_Singles_7.png</t>
  </si>
  <si>
    <t>Halloween_Singles_8.png</t>
  </si>
  <si>
    <t>Halloween_Singles_9.png</t>
  </si>
  <si>
    <t>Halloween_Singles_10.png</t>
  </si>
  <si>
    <t>Halloween_Singles_11.png</t>
  </si>
  <si>
    <t>Halloween_Singles_12.png</t>
  </si>
  <si>
    <t>Halloween_Singles_13.png</t>
  </si>
  <si>
    <t>Halloween_Singles_14.png</t>
  </si>
  <si>
    <t>Halloween_Singles_15.png</t>
  </si>
  <si>
    <t>Halloween_Singles_16.png</t>
  </si>
  <si>
    <t>Halloween_Singles_17.png</t>
  </si>
  <si>
    <t>Halloween_Singles_18.png</t>
  </si>
  <si>
    <t>Halloween_Singles_19.png</t>
  </si>
  <si>
    <t>Halloween_Singles_20.png</t>
  </si>
  <si>
    <t>Halloween_Singles_21.png</t>
  </si>
  <si>
    <t>Halloween_Singles_22.png</t>
  </si>
  <si>
    <t>Halloween_Singles_23.png</t>
  </si>
  <si>
    <t>Halloween_Singles_24.png</t>
  </si>
  <si>
    <t>Halloween_Singles_25.png</t>
  </si>
  <si>
    <t>Halloween_Singles_26.png</t>
  </si>
  <si>
    <t>Halloween_Singles_27.png</t>
  </si>
  <si>
    <t>Halloween_Singles_28.png</t>
  </si>
  <si>
    <t>Halloween_Singles_29.png</t>
  </si>
  <si>
    <t>Halloween_Singles_30.png</t>
  </si>
  <si>
    <t>Halloween_Singles_31.png</t>
  </si>
  <si>
    <t>Halloween_Singles_32.png</t>
  </si>
  <si>
    <t>Halloween_Singles_33.png</t>
  </si>
  <si>
    <t>Halloween_Singles_34.png</t>
  </si>
  <si>
    <t>Halloween_Singles_35.png</t>
  </si>
  <si>
    <t>Halloween_Singles_36.png</t>
  </si>
  <si>
    <t>Halloween_Singles_37.png</t>
  </si>
  <si>
    <t>Halloween_Singles_38.png</t>
  </si>
  <si>
    <t>Halloween_Singles_39.png</t>
  </si>
  <si>
    <t>Halloween_Singles_40.png</t>
  </si>
  <si>
    <t>Halloween_Singles_41.png</t>
  </si>
  <si>
    <t>Halloween_Singles_42.png</t>
  </si>
  <si>
    <t>Halloween_Singles_43.png</t>
  </si>
  <si>
    <t>Halloween_Singles_44.png</t>
  </si>
  <si>
    <t>Halloween_Singles_45.png</t>
  </si>
  <si>
    <t>Halloween_Singles_46.png</t>
  </si>
  <si>
    <t>Halloween_Singles_47.png</t>
  </si>
  <si>
    <t>Halloween_Singles_48.png</t>
  </si>
  <si>
    <t>Halloween_Singles_49.png</t>
  </si>
  <si>
    <t>Halloween_Singles_50.png</t>
  </si>
  <si>
    <t>Halloween_Singles_51.png</t>
  </si>
  <si>
    <t>Halloween_Singles_52.png</t>
  </si>
  <si>
    <t>Halloween_Singles_53.png</t>
  </si>
  <si>
    <t>Halloween_Singles_54.png</t>
  </si>
  <si>
    <t>Halloween_Singles_55.png</t>
  </si>
  <si>
    <t>Halloween_Singles_56.png</t>
  </si>
  <si>
    <t>Halloween_Singles_57.png</t>
  </si>
  <si>
    <t>Halloween_Singles_58.png</t>
  </si>
  <si>
    <t>Halloween_Singles_59.png</t>
  </si>
  <si>
    <t>Halloween_Singles_60.png</t>
  </si>
  <si>
    <t>Halloween_Singles_61.png</t>
  </si>
  <si>
    <t>Halloween_Singles_62.png</t>
  </si>
  <si>
    <t>Halloween_Singles_63.png</t>
  </si>
  <si>
    <t>Halloween_Singles_64.png</t>
  </si>
  <si>
    <t>Halloween_Singles_65.png</t>
  </si>
  <si>
    <t>Halloween_Singles_66.png</t>
  </si>
  <si>
    <t>Halloween_Singles_67.png</t>
  </si>
  <si>
    <t>Halloween_Singles_68.png</t>
  </si>
  <si>
    <t>Halloween_Singles_69.png</t>
  </si>
  <si>
    <t>Halloween_Singles_70.png</t>
  </si>
  <si>
    <t>Halloween_Singles_71.png</t>
  </si>
  <si>
    <t>Halloween_Singles_72.png</t>
  </si>
  <si>
    <t>Halloween_Singles_73.png</t>
  </si>
  <si>
    <t>Halloween_Singles_74.png</t>
  </si>
  <si>
    <t>Halloween_Singles_75.png</t>
  </si>
  <si>
    <t>Halloween_Singles_76.png</t>
  </si>
  <si>
    <t>Halloween_Singles_77.png</t>
  </si>
  <si>
    <t>Halloween_Singles_78.png</t>
  </si>
  <si>
    <t>Halloween_Singles_79.png</t>
  </si>
  <si>
    <t>Halloween_Singles_80.png</t>
  </si>
  <si>
    <t>Halloween_Singles_81.png</t>
  </si>
  <si>
    <t>Halloween_Singles_82.png</t>
  </si>
  <si>
    <t>Halloween_Singles_83.png</t>
  </si>
  <si>
    <t>Halloween_Singles_84.png</t>
  </si>
  <si>
    <t>Halloween_Singles_85.png</t>
  </si>
  <si>
    <t>Halloween_Singles_86.png</t>
  </si>
  <si>
    <t>Halloween_Singles_87.png</t>
  </si>
  <si>
    <t>Halloween_Singles_88.png</t>
  </si>
  <si>
    <t>Halloween_Singles_89.png</t>
  </si>
  <si>
    <t>Halloween_Singles_90.png</t>
  </si>
  <si>
    <t>Halloween_Singles_91.png</t>
  </si>
  <si>
    <t>Halloween_Singles_92.png</t>
  </si>
  <si>
    <t>Halloween_Singles_93.png</t>
  </si>
  <si>
    <t>Halloween_Singles_94.png</t>
  </si>
  <si>
    <t>Halloween_Singles_95.png</t>
  </si>
  <si>
    <t>Halloween_Singles_96.png</t>
  </si>
  <si>
    <t>Halloween_Singles_97.png</t>
  </si>
  <si>
    <t>Halloween_Singles_98.png</t>
  </si>
  <si>
    <t>Halloween_Singles_99.png</t>
  </si>
  <si>
    <t>Halloween_Singles_100.png</t>
  </si>
  <si>
    <t>Halloween_Singles_101.png</t>
  </si>
  <si>
    <t>Halloween_Singles_102.png</t>
  </si>
  <si>
    <t>Halloween_Singles_103.png</t>
  </si>
  <si>
    <t>Halloween_Singles_104.png</t>
  </si>
  <si>
    <t>Halloween_Singles_105.png</t>
  </si>
  <si>
    <t>Halloween_Singles_106.png</t>
  </si>
  <si>
    <t>Halloween_Singles_107.png</t>
  </si>
  <si>
    <t>Halloween_Singles_108.png</t>
  </si>
  <si>
    <t>Halloween_Singles_109.png</t>
  </si>
  <si>
    <t>Halloween_Singles_110.png</t>
  </si>
  <si>
    <t>Halloween_Singles_111.png</t>
  </si>
  <si>
    <t>Halloween_Singles_112.png</t>
  </si>
  <si>
    <t>Halloween_Singles_113.png</t>
  </si>
  <si>
    <t>Halloween_Singles_114.png</t>
  </si>
  <si>
    <t>Halloween_Singles_115.png</t>
  </si>
  <si>
    <t>Halloween_Singles_116.png</t>
  </si>
  <si>
    <t>Halloween_Singles_117.png</t>
  </si>
  <si>
    <t>Halloween_Singles_118.png</t>
  </si>
  <si>
    <t>Halloween_Singles_119.png</t>
  </si>
  <si>
    <t>Halloween_Singles_120.png</t>
  </si>
  <si>
    <t>Halloween_Singles_121.png</t>
  </si>
  <si>
    <t>Halloween_Singles_122.png</t>
  </si>
  <si>
    <t>Halloween_Singles_123.png</t>
  </si>
  <si>
    <t>Halloween_Singles_124.png</t>
  </si>
  <si>
    <t>Halloween_Singles_125.png</t>
  </si>
  <si>
    <t>Halloween_Singles_126.png</t>
  </si>
  <si>
    <t>Halloween_Singles_127.png</t>
  </si>
  <si>
    <t>Halloween_Singles_128.png</t>
  </si>
  <si>
    <t>Halloween_Singles_129.png</t>
  </si>
  <si>
    <t>Halloween_Singles_130.png</t>
  </si>
  <si>
    <t>Halloween_Singles_131.png</t>
  </si>
  <si>
    <t>Halloween_Singles_132.png</t>
  </si>
  <si>
    <t>Halloween_Singles_133.png</t>
  </si>
  <si>
    <t>Halloween_Singles_134.png</t>
  </si>
  <si>
    <t>Halloween_Singles_135.png</t>
  </si>
  <si>
    <t>Halloween_Singles_136.png</t>
  </si>
  <si>
    <t>Halloween_Singles_137.png</t>
  </si>
  <si>
    <t>Halloween_Singles_138.png</t>
  </si>
  <si>
    <t>Halloween_Singles_139.png</t>
  </si>
  <si>
    <t>Halloween_Singles_140.png</t>
  </si>
  <si>
    <t>Halloween_Singles_141.png</t>
  </si>
  <si>
    <t>Halloween_Singles_142.png</t>
  </si>
  <si>
    <t>Halloween_Singles_143.png</t>
  </si>
  <si>
    <t>Halloween_Singles_144.png</t>
  </si>
  <si>
    <t>Halloween_Singles_145.png</t>
  </si>
  <si>
    <t>Halloween_Singles_146.png</t>
  </si>
  <si>
    <t>Halloween_Singles_147.png</t>
  </si>
  <si>
    <t>Halloween_Singles_148.png</t>
  </si>
  <si>
    <t>Halloween_Singles_149.png</t>
  </si>
  <si>
    <t>Halloween_Singles_150.png</t>
  </si>
  <si>
    <t>Halloween_Singles_151.png</t>
  </si>
  <si>
    <t>Halloween_Singles_152.png</t>
  </si>
  <si>
    <t>Halloween_Singles_153.png</t>
  </si>
  <si>
    <t>Halloween_Singles_154.png</t>
  </si>
  <si>
    <t>Halloween_Singles_155.png</t>
  </si>
  <si>
    <t>Halloween_Singles_156.png</t>
  </si>
  <si>
    <t>Halloween_Singles_157.png</t>
  </si>
  <si>
    <t>Halloween_Singles_158.png</t>
  </si>
  <si>
    <t>Halloween_Singles_159.png</t>
  </si>
  <si>
    <t>Halloween_Singles_160.png</t>
  </si>
  <si>
    <t>Halloween_Singles_161.png</t>
  </si>
  <si>
    <t>Halloween_Singles_162.png</t>
  </si>
  <si>
    <t>Halloween_Singles_163.png</t>
  </si>
  <si>
    <t>Halloween_Singles_164.png</t>
  </si>
  <si>
    <t>Halloween_Singles_165.png</t>
  </si>
  <si>
    <t>Halloween_Singles_166.png</t>
  </si>
  <si>
    <t>Halloween_Singles_167.png</t>
  </si>
  <si>
    <t>Halloween_Singles_168.png</t>
  </si>
  <si>
    <t>Halloween_Singles_169.png</t>
  </si>
  <si>
    <t>Halloween_Singles_171.png</t>
  </si>
  <si>
    <t>Halloween_Singles_172.png</t>
  </si>
  <si>
    <t>Halloween_Singles_173.png</t>
  </si>
  <si>
    <t>Halloween_Singles_174.png</t>
  </si>
  <si>
    <t>Halloween_Singles_175.png</t>
  </si>
  <si>
    <t>Halloween_Singles_176.png</t>
  </si>
  <si>
    <t>Halloween_Singles_177.png</t>
  </si>
  <si>
    <t>Halloween_Singles_178.png</t>
  </si>
  <si>
    <t>Halloween_Singles_179.png</t>
  </si>
  <si>
    <t>Halloween_Singles_180.png</t>
  </si>
  <si>
    <t>Halloween_Singles_181.png</t>
  </si>
  <si>
    <t>Halloween_Singles_182.png</t>
  </si>
  <si>
    <t>Halloween_Singles_183.png</t>
  </si>
  <si>
    <t>Halloween_Singles_184.png</t>
  </si>
  <si>
    <t>Halloween_Singles_185.png</t>
  </si>
  <si>
    <t>Halloween_Singles_186.png</t>
  </si>
  <si>
    <t>Halloween_Singles_187.png</t>
  </si>
  <si>
    <t>Halloween_Singles_188.png</t>
  </si>
  <si>
    <t>Halloween_Singles_189.png</t>
  </si>
  <si>
    <t>Halloween_Singles_190.png</t>
  </si>
  <si>
    <t>Halloween_Singles_191.png</t>
  </si>
  <si>
    <t>Halloween_Singles_192.png</t>
  </si>
  <si>
    <t>Halloween_Singles_193.png</t>
  </si>
  <si>
    <t>Halloween_Singles_194.png</t>
  </si>
  <si>
    <t>Halloween_Singles_195.png</t>
  </si>
  <si>
    <t>Halloween_Singles_196.png</t>
  </si>
  <si>
    <t>Halloween_Singles_197.png</t>
  </si>
  <si>
    <t>Halloween_Singles_198.png</t>
  </si>
  <si>
    <t>Halloween_Singles_199.png</t>
  </si>
  <si>
    <t>Halloween_Singles_200.png</t>
  </si>
  <si>
    <t>Halloween_Singles_201.png</t>
  </si>
  <si>
    <t>Halloween_Singles_202.png</t>
  </si>
  <si>
    <t>Halloween_Singles_203.png</t>
  </si>
  <si>
    <t>Halloween_Singles_204.png</t>
  </si>
  <si>
    <t>Halloween_Singles_205.png</t>
  </si>
  <si>
    <t>Halloween_Singles_206.png</t>
  </si>
  <si>
    <t>Halloween_Singles_207.png</t>
  </si>
  <si>
    <t>Halloween_Singles_208.png</t>
  </si>
  <si>
    <t>Halloween_Singles_209.png</t>
  </si>
  <si>
    <t>Halloween_Singles_210.png</t>
  </si>
  <si>
    <t>Halloween_Singles_211.png</t>
  </si>
  <si>
    <t>Halloween_Singles_212.png</t>
  </si>
  <si>
    <t>Halloween_Singles_213.png</t>
  </si>
  <si>
    <t>Halloween_Singles_214.png</t>
  </si>
  <si>
    <t>Halloween_Singles_215.png</t>
  </si>
  <si>
    <t>Halloween_Singles_216.png</t>
  </si>
  <si>
    <t>Halloween_Singles_217.png</t>
  </si>
  <si>
    <t>Halloween_Singles_218.png</t>
  </si>
  <si>
    <t>Halloween_Singles_219.png</t>
  </si>
  <si>
    <t>Halloween_Singles_220.png</t>
  </si>
  <si>
    <t>Halloween_Singles_221.png</t>
  </si>
  <si>
    <t>Halloween_Singles_222.png</t>
  </si>
  <si>
    <t>Halloween_Singles_223.png</t>
  </si>
  <si>
    <t>Halloween_Singles_224.png</t>
  </si>
  <si>
    <t>Halloween_Singles_225.png</t>
  </si>
  <si>
    <t>Halloween_Singles_226.png</t>
  </si>
  <si>
    <t>Halloween_Singles_227.png</t>
  </si>
  <si>
    <t>Halloween_Singles_228.png</t>
  </si>
  <si>
    <t>Halloween_Singles_229.png</t>
  </si>
  <si>
    <t>Halloween_Singles_230.png</t>
  </si>
  <si>
    <t>Halloween_Singles_231.png</t>
  </si>
  <si>
    <t>Halloween_Singles_232.png</t>
  </si>
  <si>
    <t>Halloween_Singles_233.png</t>
  </si>
  <si>
    <t>Halloween_Singles_234.png</t>
  </si>
  <si>
    <t>Halloween_Singles_235.png</t>
  </si>
  <si>
    <t>Halloween_Singles_236.png</t>
  </si>
  <si>
    <t>Halloween_Singles_237.png</t>
  </si>
  <si>
    <t>Halloween_Singles_238.png</t>
  </si>
  <si>
    <t>Halloween_Singles_239.png</t>
  </si>
  <si>
    <t>Halloween_Singles_240.png</t>
  </si>
  <si>
    <t>Kitchen_Singles_1.png</t>
  </si>
  <si>
    <t>Kitchen_Singles_3.png</t>
  </si>
  <si>
    <t>Kitchen_Singles_4.png</t>
  </si>
  <si>
    <t>Kitchen_Singles_5.png</t>
  </si>
  <si>
    <t>Kitchen_Singles_6.png</t>
  </si>
  <si>
    <t>Kitchen_Singles_7.png</t>
  </si>
  <si>
    <t>Kitchen_Singles_8.png</t>
  </si>
  <si>
    <t>Kitchen_Singles_9.png</t>
  </si>
  <si>
    <t>Kitchen_Singles_10.png</t>
  </si>
  <si>
    <t>Kitchen_Singles_11.png</t>
  </si>
  <si>
    <t>Kitchen_Singles_12.png</t>
  </si>
  <si>
    <t>Kitchen_Singles_13.png</t>
  </si>
  <si>
    <t>Kitchen_Singles_14.png</t>
  </si>
  <si>
    <t>Kitchen_Singles_15.png</t>
  </si>
  <si>
    <t>Kitchen_Singles_16.png</t>
  </si>
  <si>
    <t>Kitchen_Singles_17.png</t>
  </si>
  <si>
    <t>Kitchen_Singles_18.png</t>
  </si>
  <si>
    <t>Kitchen_Singles_19.png</t>
  </si>
  <si>
    <t>Kitchen_Singles_20.png</t>
  </si>
  <si>
    <t>Kitchen_Singles_21.png</t>
  </si>
  <si>
    <t>Kitchen_Singles_22.png</t>
  </si>
  <si>
    <t>Kitchen_Singles_23.png</t>
  </si>
  <si>
    <t>Kitchen_Singles_24.png</t>
  </si>
  <si>
    <t>Kitchen_Singles_25.png</t>
  </si>
  <si>
    <t>Kitchen_Singles_26.png</t>
  </si>
  <si>
    <t>Kitchen_Singles_27.png</t>
  </si>
  <si>
    <t>Kitchen_Singles_28.png</t>
  </si>
  <si>
    <t>Kitchen_Singles_29.png</t>
  </si>
  <si>
    <t>Kitchen_Singles_30.png</t>
  </si>
  <si>
    <t>Kitchen_Singles_31.png</t>
  </si>
  <si>
    <t>Kitchen_Singles_32.png</t>
  </si>
  <si>
    <t>Kitchen_Singles_33.png</t>
  </si>
  <si>
    <t>Kitchen_Singles_34.png</t>
  </si>
  <si>
    <t>Kitchen_Singles_35.png</t>
  </si>
  <si>
    <t>Kitchen_Singles_36.png</t>
  </si>
  <si>
    <t>Kitchen_Singles_37.png</t>
  </si>
  <si>
    <t>Kitchen_Singles_38.png</t>
  </si>
  <si>
    <t>Kitchen_Singles_39.png</t>
  </si>
  <si>
    <t>Kitchen_Singles_40.png</t>
  </si>
  <si>
    <t>Kitchen_Singles_41.png</t>
  </si>
  <si>
    <t>Kitchen_Singles_42.png</t>
  </si>
  <si>
    <t>Kitchen_Singles_43.png</t>
  </si>
  <si>
    <t>Kitchen_Singles_44.png</t>
  </si>
  <si>
    <t>Kitchen_Singles_45.png</t>
  </si>
  <si>
    <t>Kitchen_Singles_46.png</t>
  </si>
  <si>
    <t>Kitchen_Singles_47.png</t>
  </si>
  <si>
    <t>Kitchen_Singles_48.png</t>
  </si>
  <si>
    <t>Kitchen_Singles_49.png</t>
  </si>
  <si>
    <t>Kitchen_Singles_50.png</t>
  </si>
  <si>
    <t>Kitchen_Singles_51.png</t>
  </si>
  <si>
    <t>Kitchen_Singles_52.png</t>
  </si>
  <si>
    <t>Kitchen_Singles_53.png</t>
  </si>
  <si>
    <t>Kitchen_Singles_54.png</t>
  </si>
  <si>
    <t>Kitchen_Singles_55.png</t>
  </si>
  <si>
    <t>Kitchen_Singles_56.png</t>
  </si>
  <si>
    <t>Kitchen_Singles_57.png</t>
  </si>
  <si>
    <t>Kitchen_Singles_58.png</t>
  </si>
  <si>
    <t>Kitchen_Singles_59.png</t>
  </si>
  <si>
    <t>Kitchen_Singles_60.png</t>
  </si>
  <si>
    <t>Kitchen_Singles_61.png</t>
  </si>
  <si>
    <t>Kitchen_Singles_62.png</t>
  </si>
  <si>
    <t>Kitchen_Singles_63.png</t>
  </si>
  <si>
    <t>Kitchen_Singles_64.png</t>
  </si>
  <si>
    <t>Kitchen_Singles_65.png</t>
  </si>
  <si>
    <t>Kitchen_Singles_66.png</t>
  </si>
  <si>
    <t>Kitchen_Singles_67.png</t>
  </si>
  <si>
    <t>Kitchen_Singles_68.png</t>
  </si>
  <si>
    <t>Kitchen_Singles_69.png</t>
  </si>
  <si>
    <t>Kitchen_Singles_70.png</t>
  </si>
  <si>
    <t>Kitchen_Singles_71.png</t>
  </si>
  <si>
    <t>Kitchen_Singles_72.png</t>
  </si>
  <si>
    <t>Kitchen_Singles_73.png</t>
  </si>
  <si>
    <t>Kitchen_Singles_74.png</t>
  </si>
  <si>
    <t>Kitchen_Singles_75.png</t>
  </si>
  <si>
    <t>Kitchen_Singles_76.png</t>
  </si>
  <si>
    <t>Kitchen_Singles_77.png</t>
  </si>
  <si>
    <t>Kitchen_Singles_78.png</t>
  </si>
  <si>
    <t>Kitchen_Singles_79.png</t>
  </si>
  <si>
    <t>Kitchen_Singles_80.png</t>
  </si>
  <si>
    <t>Kitchen_Singles_81.png</t>
  </si>
  <si>
    <t>Kitchen_Singles_82.png</t>
  </si>
  <si>
    <t>Kitchen_Singles_83.png</t>
  </si>
  <si>
    <t>Kitchen_Singles_84.png</t>
  </si>
  <si>
    <t>Kitchen_Singles_85.png</t>
  </si>
  <si>
    <t>Kitchen_Singles_86.png</t>
  </si>
  <si>
    <t>Kitchen_Singles_87.png</t>
  </si>
  <si>
    <t>Kitchen_Singles_88.png</t>
  </si>
  <si>
    <t>Kitchen_Singles_89.png</t>
  </si>
  <si>
    <t>Kitchen_Singles_90.png</t>
  </si>
  <si>
    <t>Kitchen_Singles_91.png</t>
  </si>
  <si>
    <t>Kitchen_Singles_92.png</t>
  </si>
  <si>
    <t>Kitchen_Singles_93.png</t>
  </si>
  <si>
    <t>Kitchen_Singles_94.png</t>
  </si>
  <si>
    <t>Kitchen_Singles_95.png</t>
  </si>
  <si>
    <t>Kitchen_Singles_96.png</t>
  </si>
  <si>
    <t>Kitchen_Singles_97.png</t>
  </si>
  <si>
    <t>Kitchen_Singles_98.png</t>
  </si>
  <si>
    <t>Kitchen_Singles_99.png</t>
  </si>
  <si>
    <t>Kitchen_Singles_100.png</t>
  </si>
  <si>
    <t>Kitchen_Singles_101.png</t>
  </si>
  <si>
    <t>Kitchen_Singles_102.png</t>
  </si>
  <si>
    <t>Kitchen_Singles_103.png</t>
  </si>
  <si>
    <t>Kitchen_Singles_104.png</t>
  </si>
  <si>
    <t>Kitchen_Singles_105.png</t>
  </si>
  <si>
    <t>Kitchen_Singles_106.png</t>
  </si>
  <si>
    <t>Kitchen_Singles_107.png</t>
  </si>
  <si>
    <t>Kitchen_Singles_108.png</t>
  </si>
  <si>
    <t>Kitchen_Singles_109.png</t>
  </si>
  <si>
    <t>Kitchen_Singles_110.png</t>
  </si>
  <si>
    <t>Kitchen_Singles_111.png</t>
  </si>
  <si>
    <t>Kitchen_Singles_112.png</t>
  </si>
  <si>
    <t>Kitchen_Singles_113.png</t>
  </si>
  <si>
    <t>Kitchen_Singles_114.png</t>
  </si>
  <si>
    <t>Kitchen_Singles_115.png</t>
  </si>
  <si>
    <t>Kitchen_Singles_116.png</t>
  </si>
  <si>
    <t>Kitchen_Singles_117.png</t>
  </si>
  <si>
    <t>Kitchen_Singles_118.png</t>
  </si>
  <si>
    <t>Kitchen_Singles_119.png</t>
  </si>
  <si>
    <t>Kitchen_Singles_120.png</t>
  </si>
  <si>
    <t>Kitchen_Singles_121.png</t>
  </si>
  <si>
    <t>Kitchen_Singles_122.png</t>
  </si>
  <si>
    <t>Kitchen_Singles_123.png</t>
  </si>
  <si>
    <t>Kitchen_Singles_124.png</t>
  </si>
  <si>
    <t>Kitchen_Singles_125.png</t>
  </si>
  <si>
    <t>Kitchen_Singles_126.png</t>
  </si>
  <si>
    <t>Kitchen_Singles_127.png</t>
  </si>
  <si>
    <t>Kitchen_Singles_128.png</t>
  </si>
  <si>
    <t>Kitchen_Singles_129.png</t>
  </si>
  <si>
    <t>Kitchen_Singles_130.png</t>
  </si>
  <si>
    <t>Kitchen_Singles_131.png</t>
  </si>
  <si>
    <t>Kitchen_Singles_132.png</t>
  </si>
  <si>
    <t>Kitchen_Singles_133.png</t>
  </si>
  <si>
    <t>Kitchen_Singles_134.png</t>
  </si>
  <si>
    <t>Kitchen_Singles_135.png</t>
  </si>
  <si>
    <t>Kitchen_Singles_136.png</t>
  </si>
  <si>
    <t>Kitchen_Singles_137.png</t>
  </si>
  <si>
    <t>Kitchen_Singles_138.png</t>
  </si>
  <si>
    <t>Kitchen_Singles_139.png</t>
  </si>
  <si>
    <t>Kitchen_Singles_140.png</t>
  </si>
  <si>
    <t>Kitchen_Singles_141.png</t>
  </si>
  <si>
    <t>Kitchen_Singles_142.png</t>
  </si>
  <si>
    <t>Kitchen_Singles_143.png</t>
  </si>
  <si>
    <t>Kitchen_Singles_144.png</t>
  </si>
  <si>
    <t>Kitchen_Singles_145.png</t>
  </si>
  <si>
    <t>Kitchen_Singles_146.png</t>
  </si>
  <si>
    <t>Kitchen_Singles_147.png</t>
  </si>
  <si>
    <t>Kitchen_Singles_148.png</t>
  </si>
  <si>
    <t>Kitchen_Singles_149.png</t>
  </si>
  <si>
    <t>Kitchen_Singles_150.png</t>
  </si>
  <si>
    <t>Kitchen_Singles_151.png</t>
  </si>
  <si>
    <t>Kitchen_Singles_152.png</t>
  </si>
  <si>
    <t>Kitchen_Singles_153.png</t>
  </si>
  <si>
    <t>Kitchen_Singles_154.png</t>
  </si>
  <si>
    <t>Kitchen_Singles_155.png</t>
  </si>
  <si>
    <t>Kitchen_Singles_156.png</t>
  </si>
  <si>
    <t>Kitchen_Singles_157.png</t>
  </si>
  <si>
    <t>Kitchen_Singles_158.png</t>
  </si>
  <si>
    <t>Kitchen_Singles_159.png</t>
  </si>
  <si>
    <t>Kitchen_Singles_160.png</t>
  </si>
  <si>
    <t>Kitchen_Singles_161.png</t>
  </si>
  <si>
    <t>Kitchen_Singles_162.png</t>
  </si>
  <si>
    <t>Kitchen_Singles_163.png</t>
  </si>
  <si>
    <t>Kitchen_Singles_164.png</t>
  </si>
  <si>
    <t>Kitchen_Singles_165.png</t>
  </si>
  <si>
    <t>Kitchen_Singles_166.png</t>
  </si>
  <si>
    <t>Kitchen_Singles_167.png</t>
  </si>
  <si>
    <t>Kitchen_Singles_168.png</t>
  </si>
  <si>
    <t>Kitchen_Singles_169.png</t>
  </si>
  <si>
    <t>Kitchen_Singles_170.png</t>
  </si>
  <si>
    <t>Kitchen_Singles_171.png</t>
  </si>
  <si>
    <t>Kitchen_Singles_172.png</t>
  </si>
  <si>
    <t>Kitchen_Singles_173.png</t>
  </si>
  <si>
    <t>Kitchen_Singles_174.png</t>
  </si>
  <si>
    <t>Kitchen_Singles_175.png</t>
  </si>
  <si>
    <t>Kitchen_Singles_176.png</t>
  </si>
  <si>
    <t>Kitchen_Singles_177.png</t>
  </si>
  <si>
    <t>Kitchen_Singles_178.png</t>
  </si>
  <si>
    <t>Kitchen_Singles_179.png</t>
  </si>
  <si>
    <t>Kitchen_Singles_180.png</t>
  </si>
  <si>
    <t>Kitchen_Singles_181.png</t>
  </si>
  <si>
    <t>Kitchen_Singles_182.png</t>
  </si>
  <si>
    <t>Kitchen_Singles_183.png</t>
  </si>
  <si>
    <t>Kitchen_Singles_184.png</t>
  </si>
  <si>
    <t>Kitchen_Singles_185.png</t>
  </si>
  <si>
    <t>Kitchen_Singles_186.png</t>
  </si>
  <si>
    <t>Kitchen_Singles_187.png</t>
  </si>
  <si>
    <t>Kitchen_Singles_188.png</t>
  </si>
  <si>
    <t>Kitchen_Singles_189.png</t>
  </si>
  <si>
    <t>Kitchen_Singles_190.png</t>
  </si>
  <si>
    <t>Kitchen_Singles_191.png</t>
  </si>
  <si>
    <t>Kitchen_Singles_192.png</t>
  </si>
  <si>
    <t>Kitchen_Singles_193.png</t>
  </si>
  <si>
    <t>Kitchen_Singles_194.png</t>
  </si>
  <si>
    <t>Kitchen_Singles_195.png</t>
  </si>
  <si>
    <t>Kitchen_Singles_196.png</t>
  </si>
  <si>
    <t>Kitchen_Singles_197.png</t>
  </si>
  <si>
    <t>Kitchen_Singles_198.png</t>
  </si>
  <si>
    <t>Kitchen_Singles_199.png</t>
  </si>
  <si>
    <t>Kitchen_Singles_200.png</t>
  </si>
  <si>
    <t>Kitchen_Singles_201.png</t>
  </si>
  <si>
    <t>Kitchen_Singles_202.png</t>
  </si>
  <si>
    <t>Kitchen_Singles_203.png</t>
  </si>
  <si>
    <t>Kitchen_Singles_204.png</t>
  </si>
  <si>
    <t>Kitchen_Singles_205.png</t>
  </si>
  <si>
    <t>Kitchen_Singles_206.png</t>
  </si>
  <si>
    <t>Kitchen_Singles_207.png</t>
  </si>
  <si>
    <t>Kitchen_Singles_208.png</t>
  </si>
  <si>
    <t>Kitchen_Singles_209.png</t>
  </si>
  <si>
    <t>Kitchen_Singles_210.png</t>
  </si>
  <si>
    <t>Kitchen_Singles_211.png</t>
  </si>
  <si>
    <t>Kitchen_Singles_212.png</t>
  </si>
  <si>
    <t>Kitchen_Singles_213.png</t>
  </si>
  <si>
    <t>Kitchen_Singles_214.png</t>
  </si>
  <si>
    <t>Kitchen_Singles_215.png</t>
  </si>
  <si>
    <t>Kitchen_Singles_216.png</t>
  </si>
  <si>
    <t>Kitchen_Singles_217.png</t>
  </si>
  <si>
    <t>Kitchen_Singles_218.png</t>
  </si>
  <si>
    <t>Kitchen_Singles_219.png</t>
  </si>
  <si>
    <t>Kitchen_Singles_220.png</t>
  </si>
  <si>
    <t>Kitchen_Singles_221.png</t>
  </si>
  <si>
    <t>Kitchen_Singles_222.png</t>
  </si>
  <si>
    <t>Kitchen_Singles_223.png</t>
  </si>
  <si>
    <t>Kitchen_Singles_224.png</t>
  </si>
  <si>
    <t>Kitchen_Singles_225.png</t>
  </si>
  <si>
    <t>Kitchen_Singles_226.png</t>
  </si>
  <si>
    <t>Kitchen_Singles_227.png</t>
  </si>
  <si>
    <t>Kitchen_Singles_228.png</t>
  </si>
  <si>
    <t>Kitchen_Singles_229.png</t>
  </si>
  <si>
    <t>Kitchen_Singles_230.png</t>
  </si>
  <si>
    <t>Kitchen_Singles_231.png</t>
  </si>
  <si>
    <t>Kitchen_Singles_232.png</t>
  </si>
  <si>
    <t>Kitchen_Singles_233.png</t>
  </si>
  <si>
    <t>Kitchen_Singles_234.png</t>
  </si>
  <si>
    <t>Kitchen_Singles_235.png</t>
  </si>
  <si>
    <t>Kitchen_Singles_236.png</t>
  </si>
  <si>
    <t>Kitchen_Singles_237.png</t>
  </si>
  <si>
    <t>Kitchen_Singles_238.png</t>
  </si>
  <si>
    <t>Kitchen_Singles_239.png</t>
  </si>
  <si>
    <t>Kitchen_Singles_240.png</t>
  </si>
  <si>
    <t>Kitchen_Singles_241.png</t>
  </si>
  <si>
    <t>Kitchen_Singles_242.png</t>
  </si>
  <si>
    <t>Kitchen_Singles_243.png</t>
  </si>
  <si>
    <t>Kitchen_Singles_244.png</t>
  </si>
  <si>
    <t>Kitchen_Singles_245.png</t>
  </si>
  <si>
    <t>Kitchen_Singles_246.png</t>
  </si>
  <si>
    <t>Kitchen_Singles_247.png</t>
  </si>
  <si>
    <t>Kitchen_Singles_248.png</t>
  </si>
  <si>
    <t>Kitchen_Singles_249.png</t>
  </si>
  <si>
    <t>Kitchen_Singles_250.png</t>
  </si>
  <si>
    <t>Kitchen_Singles_251.png</t>
  </si>
  <si>
    <t>Kitchen_Singles_252.png</t>
  </si>
  <si>
    <t>Kitchen_Singles_253.png</t>
  </si>
  <si>
    <t>Kitchen_Singles_254.png</t>
  </si>
  <si>
    <t>Kitchen_Singles_255.png</t>
  </si>
  <si>
    <t>Kitchen_Singles_256.png</t>
  </si>
  <si>
    <t>Kitchen_Singles_257.png</t>
  </si>
  <si>
    <t>Kitchen_Singles_258.png</t>
  </si>
  <si>
    <t>Kitchen_Singles_259.png</t>
  </si>
  <si>
    <t>Kitchen_Singles_260.png</t>
  </si>
  <si>
    <t>Kitchen_Singles_261.png</t>
  </si>
  <si>
    <t>Kitchen_Singles_262.png</t>
  </si>
  <si>
    <t>Kitchen_Singles_263.png</t>
  </si>
  <si>
    <t>Kitchen_Singles_264.png</t>
  </si>
  <si>
    <t>Kitchen_Singles_265.png</t>
  </si>
  <si>
    <t>Kitchen_Singles_266.png</t>
  </si>
  <si>
    <t>Kitchen_Singles_268.png</t>
  </si>
  <si>
    <t>Kitchen_Singles_269.png</t>
  </si>
  <si>
    <t>Kitchen_Singles_270.png</t>
  </si>
  <si>
    <t>Kitchen_Singles_271.png</t>
  </si>
  <si>
    <t>Kitchen_Singles_272.png</t>
  </si>
  <si>
    <t>Kitchen_Singles_273.png</t>
  </si>
  <si>
    <t>Kitchen_Singles_274.png</t>
  </si>
  <si>
    <t>Kitchen_Singles_275.png</t>
  </si>
  <si>
    <t>Kitchen_Singles_276.png</t>
  </si>
  <si>
    <t>Kitchen_Singles_277.png</t>
  </si>
  <si>
    <t>Kitchen_Singles_278.png</t>
  </si>
  <si>
    <t>Kitchen_Singles_279.png</t>
  </si>
  <si>
    <t>Kitchen_Singles_280.png</t>
  </si>
  <si>
    <t>Kitchen_Singles_281.png</t>
  </si>
  <si>
    <t>Kitchen_Singles_282.png</t>
  </si>
  <si>
    <t>Kitchen_Singles_283.png</t>
  </si>
  <si>
    <t>Kitchen_Singles_284.png</t>
  </si>
  <si>
    <t>Kitchen_Singles_285.png</t>
  </si>
  <si>
    <t>Kitchen_Singles_286.png</t>
  </si>
  <si>
    <t>Kitchen_Singles_287.png</t>
  </si>
  <si>
    <t>Kitchen_Singles_288.png</t>
  </si>
  <si>
    <t>Kitchen_Singles_289.png</t>
  </si>
  <si>
    <t>Kitchen_Singles_290.png</t>
  </si>
  <si>
    <t>Kitchen_Singles_291.png</t>
  </si>
  <si>
    <t>Kitchen_Singles_292.png</t>
  </si>
  <si>
    <t>Kitchen_Singles_293.png</t>
  </si>
  <si>
    <t>Kitchen_Singles_294.png</t>
  </si>
  <si>
    <t>Kitchen_Singles_295.png</t>
  </si>
  <si>
    <t>Kitchen_Singles_296.png</t>
  </si>
  <si>
    <t>Kitchen_Singles_297.png</t>
  </si>
  <si>
    <t>Kitchen_Singles_298.png</t>
  </si>
  <si>
    <t>Kitchen_Singles_299.png</t>
  </si>
  <si>
    <t>Kitchen_Singles_300.png</t>
  </si>
  <si>
    <t>Kitchen_Singles_301.png</t>
  </si>
  <si>
    <t>Kitchen_Singles_302.png</t>
  </si>
  <si>
    <t>Kitchen_Singles_303.png</t>
  </si>
  <si>
    <t>Kitchen_Singles_304.png</t>
  </si>
  <si>
    <t>Kitchen_Singles_305.png</t>
  </si>
  <si>
    <t>Kitchen_Singles_306.png</t>
  </si>
  <si>
    <t>Kitchen_Singles_307.png</t>
  </si>
  <si>
    <t>Kitchen_Singles_308.png</t>
  </si>
  <si>
    <t>Kitchen_Singles_309.png</t>
  </si>
  <si>
    <t>Kitchen_Singles_310.png</t>
  </si>
  <si>
    <t>Kitchen_Singles_311.png</t>
  </si>
  <si>
    <t>Kitchen_Singles_312.png</t>
  </si>
  <si>
    <t>Kitchen_Singles_313.png</t>
  </si>
  <si>
    <t>Kitchen_Singles_314.png</t>
  </si>
  <si>
    <t>Kitchen_Singles_315.png</t>
  </si>
  <si>
    <t>Kitchen_Singles_316.png</t>
  </si>
  <si>
    <t>Kitchen_Singles_317.png</t>
  </si>
  <si>
    <t>Kitchen_Singles_318.png</t>
  </si>
  <si>
    <t>Kitchen_Singles_319.png</t>
  </si>
  <si>
    <t>Kitchen_Singles_320.png</t>
  </si>
  <si>
    <t>Kitchen_Singles_321.png</t>
  </si>
  <si>
    <t>Kitchen_Singles_322.png</t>
  </si>
  <si>
    <t>Kitchen_Singles_323.png</t>
  </si>
  <si>
    <t>Kitchen_Singles_324.png</t>
  </si>
  <si>
    <t>Kitchen_Singles_325.png</t>
  </si>
  <si>
    <t>Kitchen_Singles_326.png</t>
  </si>
  <si>
    <t>Kitchen_Singles_327.png</t>
  </si>
  <si>
    <t>Kitchen_Singles_328.png</t>
  </si>
  <si>
    <t>Kitchen_Singles_329.png</t>
  </si>
  <si>
    <t>Kitchen_Singles_330.png</t>
  </si>
  <si>
    <t>Kitchen_Singles_331.png</t>
  </si>
  <si>
    <t>Kitchen_Singles_332.png</t>
  </si>
  <si>
    <t>Kitchen_Singles_333.png</t>
  </si>
  <si>
    <t>Kitchen_Singles_334.png</t>
  </si>
  <si>
    <t>Kitchen_Singles_335.png</t>
  </si>
  <si>
    <t>Kitchen_Singles_336.png</t>
  </si>
  <si>
    <t>Kitchen_Singles_337.png</t>
  </si>
  <si>
    <t>Kitchen_Singles_338.png</t>
  </si>
  <si>
    <t>Kitchen_Singles_339.png</t>
  </si>
  <si>
    <t>Kitchen_Singles_340.png</t>
  </si>
  <si>
    <t>Kitchen_Singles_341.png</t>
  </si>
  <si>
    <t>Kitchen_Singles_342.png</t>
  </si>
  <si>
    <t>Kitchen_Singles_343.png</t>
  </si>
  <si>
    <t>Kitchen_Singles_344.png</t>
  </si>
  <si>
    <t>Kitchen_Singles_345.png</t>
  </si>
  <si>
    <t>Kitchen_Singles_346.png</t>
  </si>
  <si>
    <t>Kitchen_Singles_347.png</t>
  </si>
  <si>
    <t>Kitchen_Singles_348.png</t>
  </si>
  <si>
    <t>Kitchen_Singles_349.png</t>
  </si>
  <si>
    <t>Kitchen_Singles_350.png</t>
  </si>
  <si>
    <t>Kitchen_Singles_351.png</t>
  </si>
  <si>
    <t>Kitchen_Singles_352.png</t>
  </si>
  <si>
    <t>Kitchen_Singles_353.png</t>
  </si>
  <si>
    <t>Kitchen_Singles_354.png</t>
  </si>
  <si>
    <t>Kitchen_Singles_355.png</t>
  </si>
  <si>
    <t>Kitchen_Singles_356.png</t>
  </si>
  <si>
    <t>Kitchen_Singles_357.png</t>
  </si>
  <si>
    <t>Kitchen_Singles_358.png</t>
  </si>
  <si>
    <t>Kitchen_Singles_359.png</t>
  </si>
  <si>
    <t>Kitchen_Singles_360.png</t>
  </si>
  <si>
    <t>Kitchen_Singles_361.png</t>
  </si>
  <si>
    <t>Kitchen_Singles_362.png</t>
  </si>
  <si>
    <t>Kitchen_Singles_363.png</t>
  </si>
  <si>
    <t>Kitchen_Singles_364.png</t>
  </si>
  <si>
    <t>Kitchen_Singles_365.png</t>
  </si>
  <si>
    <t>Kitchen_Singles_366.png</t>
  </si>
  <si>
    <t>Kitchen_Singles_367.png</t>
  </si>
  <si>
    <t>Kitchen_Singles_368.png</t>
  </si>
  <si>
    <t>Kitchen_Singles_369.png</t>
  </si>
  <si>
    <t>Kitchen_Singles_370.png</t>
  </si>
  <si>
    <t>Kitchen_Singles_371.png</t>
  </si>
  <si>
    <t>Kitchen_Singles_372.png</t>
  </si>
  <si>
    <t>Kitchen_Singles_373.png</t>
  </si>
  <si>
    <t>Kitchen_Singles_374.png</t>
  </si>
  <si>
    <t>Kitchen_Singles_375.png</t>
  </si>
  <si>
    <t>Kitchen_Singles_376.png</t>
  </si>
  <si>
    <t>Kitchen_Singles_377.png</t>
  </si>
  <si>
    <t>Kitchen_Singles_378.png</t>
  </si>
  <si>
    <t>Kitchen_Singles_379.png</t>
  </si>
  <si>
    <t>Kitchen_Singles_380.png</t>
  </si>
  <si>
    <t>Kitchen_Singles_381.png</t>
  </si>
  <si>
    <t>Kitchen_Singles_382.png</t>
  </si>
  <si>
    <t>Kitchen_Singles_383.png</t>
  </si>
  <si>
    <t>Kitchen_Singles_384.png</t>
  </si>
  <si>
    <t>Kitchen_Singles_385.png</t>
  </si>
  <si>
    <t>Kitchen_Singles_386.png</t>
  </si>
  <si>
    <t>Kitchen_Singles_387.png</t>
  </si>
  <si>
    <t>Kitchen_Singles_388.png</t>
  </si>
  <si>
    <t>Kitchen_Singles_389.png</t>
  </si>
  <si>
    <t>Kitchen_Singles_390.png</t>
  </si>
  <si>
    <t>Kitchen_Singles_391.png</t>
  </si>
  <si>
    <t>Kitchen_Singles_392.png</t>
  </si>
  <si>
    <t>Kitchen_Singles_393.png</t>
  </si>
  <si>
    <t>Kitchen_Singles_394.png</t>
  </si>
  <si>
    <t>Kitchen_Singles_395.png</t>
  </si>
  <si>
    <t>Kitchen_Singles_396.png</t>
  </si>
  <si>
    <t>Kitchen_Singles_397.png</t>
  </si>
  <si>
    <t>Kitchen_Singles_398.png</t>
  </si>
  <si>
    <t>Kitchen_Singles_399.png</t>
  </si>
  <si>
    <t>Kitchen_Singles_400.png</t>
  </si>
  <si>
    <t>Kitchen_Singles_401.png</t>
  </si>
  <si>
    <t>Kitchen_Singles_402.png</t>
  </si>
  <si>
    <t>Kitchen_Singles_403.png</t>
  </si>
  <si>
    <t>Kitchen_Singles_404.png</t>
  </si>
  <si>
    <t>Kitchen_Singles_405.png</t>
  </si>
  <si>
    <t>Kitchen_Singles_406.png</t>
  </si>
  <si>
    <t>Kitchen_Singles_407.png</t>
  </si>
  <si>
    <t>Kitchen_Singles_408.png</t>
  </si>
  <si>
    <t>Conference_Hall_Singles_1.png</t>
  </si>
  <si>
    <t>Conference_Hall_Singles_2.png</t>
  </si>
  <si>
    <t>Conference_Hall_Singles_3.png</t>
  </si>
  <si>
    <t>Conference_Hall_Singles_4.png</t>
  </si>
  <si>
    <t>Conference_Hall_Singles_5.png</t>
  </si>
  <si>
    <t>Conference_Hall_Singles_6.png</t>
  </si>
  <si>
    <t>Conference_Hall_Singles_7.png</t>
  </si>
  <si>
    <t>Conference_Hall_Singles_8.png</t>
  </si>
  <si>
    <t>Conference_Hall_Singles_9.png</t>
  </si>
  <si>
    <t>Conference_Hall_Singles_10.png</t>
  </si>
  <si>
    <t>Conference_Hall_Singles_11.png</t>
  </si>
  <si>
    <t>Conference_Hall_Singles_12.png</t>
  </si>
  <si>
    <t>Conference_Hall_Singles_13.png</t>
  </si>
  <si>
    <t>Conference_Hall_Singles_14.png</t>
  </si>
  <si>
    <t>Conference_Hall_Singles_15.png</t>
  </si>
  <si>
    <t>Conference_Hall_Singles_16.png</t>
  </si>
  <si>
    <t>Conference_Hall_Singles_17.png</t>
  </si>
  <si>
    <t>Conference_Hall_Singles_18.png</t>
  </si>
  <si>
    <t>Conference_Hall_Singles_19.png</t>
  </si>
  <si>
    <t>Conference_Hall_Singles_20.png</t>
  </si>
  <si>
    <t>Conference_Hall_Singles_21.png</t>
  </si>
  <si>
    <t>Conference_Hall_Singles_22.png</t>
  </si>
  <si>
    <t>Conference_Hall_Singles_23.png</t>
  </si>
  <si>
    <t>Conference_Hall_Singles_24.png</t>
  </si>
  <si>
    <t>Conference_Hall_Singles_25.png</t>
  </si>
  <si>
    <t>Conference_Hall_Singles_26.png</t>
  </si>
  <si>
    <t>Conference_Hall_Singles_27.png</t>
  </si>
  <si>
    <t>Conference_Hall_Singles_28.png</t>
  </si>
  <si>
    <t>Conference_Hall_Singles_29.png</t>
  </si>
  <si>
    <t>Conference_Hall_Singles_30.png</t>
  </si>
  <si>
    <t>Conference_Hall_Singles_31.png</t>
  </si>
  <si>
    <t>Conference_Hall_Singles_32.png</t>
  </si>
  <si>
    <t>Conference_Hall_Singles_33.png</t>
  </si>
  <si>
    <t>Conference_Hall_Singles_34.png</t>
  </si>
  <si>
    <t>Conference_Hall_Singles_35.png</t>
  </si>
  <si>
    <t>Conference_Hall_Singles_36.png</t>
  </si>
  <si>
    <t>Conference_Hall_Singles_37.png</t>
  </si>
  <si>
    <t>Conference_Hall_Singles_38.png</t>
  </si>
  <si>
    <t>Conference_Hall_Singles_39.png</t>
  </si>
  <si>
    <t>Conference_Hall_Singles_40.png</t>
  </si>
  <si>
    <t>Conference_Hall_Singles_41.png</t>
  </si>
  <si>
    <t>Conference_Hall_Singles_42.png</t>
  </si>
  <si>
    <t>Conference_Hall_Singles_43.png</t>
  </si>
  <si>
    <t>Conference_Hall_Singles_44.png</t>
  </si>
  <si>
    <t>Conference_Hall_Singles_45.png</t>
  </si>
  <si>
    <t>Conference_Hall_Singles_46.png</t>
  </si>
  <si>
    <t>Conference_Hall_Singles_47.png</t>
  </si>
  <si>
    <t>Conference_Hall_Singles_48.png</t>
  </si>
  <si>
    <t>Conference_Hall_Singles_49.png</t>
  </si>
  <si>
    <t>Conference_Hall_Singles_50.png</t>
  </si>
  <si>
    <t>Conference_Hall_Singles_51.png</t>
  </si>
  <si>
    <t>Conference_Hall_Singles_52.png</t>
  </si>
  <si>
    <t>Conference_Hall_Singles_53.png</t>
  </si>
  <si>
    <t>Conference_Hall_Singles_54.png</t>
  </si>
  <si>
    <t>Conference_Hall_Singles_55.png</t>
  </si>
  <si>
    <t>Conference_Hall_Singles_56.png</t>
  </si>
  <si>
    <t>Conference_Hall_Singles_57.png</t>
  </si>
  <si>
    <t>Conference_Hall_Singles_58.png</t>
  </si>
  <si>
    <t>Conference_Hall_Singles_59.png</t>
  </si>
  <si>
    <t>Conference_Hall_Singles_60.png</t>
  </si>
  <si>
    <t>Conference_Hall_Singles_61.png</t>
  </si>
  <si>
    <t>Conference_Hall_Singles_62.png</t>
  </si>
  <si>
    <t>Conference_Hall_Singles_63.png</t>
  </si>
  <si>
    <t>Conference_Hall_Singles_64.png</t>
  </si>
  <si>
    <t>Conference_Hall_Singles_65.png</t>
  </si>
  <si>
    <t>Conference_Hall_Singles_66.png</t>
  </si>
  <si>
    <t>Conference_Hall_Singles_67.png</t>
  </si>
  <si>
    <t>Conference_Hall_Singles_68.png</t>
  </si>
  <si>
    <t>Basement_Singles_1.png</t>
  </si>
  <si>
    <t>Basement_Singles_2.png</t>
  </si>
  <si>
    <t>Basement_Singles_3.png</t>
  </si>
  <si>
    <t>Basement_Singles_4.png</t>
  </si>
  <si>
    <t>Basement_Singles_5.png</t>
  </si>
  <si>
    <t>Basement_Singles_6.png</t>
  </si>
  <si>
    <t>Basement_Singles_7.png</t>
  </si>
  <si>
    <t>Basement_Singles_8.png</t>
  </si>
  <si>
    <t>Basement_Singles_9.png</t>
  </si>
  <si>
    <t>Basement_Singles_10.png</t>
  </si>
  <si>
    <t>Basement_Singles_11.png</t>
  </si>
  <si>
    <t>Basement_Singles_12.png</t>
  </si>
  <si>
    <t>Basement_Singles_13.png</t>
  </si>
  <si>
    <t>Basement_Singles_14.png</t>
  </si>
  <si>
    <t>Basement_Singles_15.png</t>
  </si>
  <si>
    <t>Basement_Singles_16.png</t>
  </si>
  <si>
    <t>Basement_Singles_17.png</t>
  </si>
  <si>
    <t>Basement_Singles_18.png</t>
  </si>
  <si>
    <t>Basement_Singles_19.png</t>
  </si>
  <si>
    <t>Basement_Singles_20.png</t>
  </si>
  <si>
    <t>Basement_Singles_21.png</t>
  </si>
  <si>
    <t>Basement_Singles_22.png</t>
  </si>
  <si>
    <t>Basement_Singles_23.png</t>
  </si>
  <si>
    <t>Basement_Singles_24.png</t>
  </si>
  <si>
    <t>Basement_Singles_25.png</t>
  </si>
  <si>
    <t>Basement_Singles_26.png</t>
  </si>
  <si>
    <t>Basement_Singles_27.png</t>
  </si>
  <si>
    <t>Basement_Singles_28.png</t>
  </si>
  <si>
    <t>Basement_Singles_29.png</t>
  </si>
  <si>
    <t>Basement_Singles_30.png</t>
  </si>
  <si>
    <t>Basement_Singles_31.png</t>
  </si>
  <si>
    <t>Basement_Singles_32.png</t>
  </si>
  <si>
    <t>Basement_Singles_33.png</t>
  </si>
  <si>
    <t>Basement_Singles_34.png</t>
  </si>
  <si>
    <t>Basement_Singles_35.png</t>
  </si>
  <si>
    <t>Basement_Singles_36.png</t>
  </si>
  <si>
    <t>Basement_Singles_37.png</t>
  </si>
  <si>
    <t>Basement_Singles_38.png</t>
  </si>
  <si>
    <t>Basement_Singles_39.png</t>
  </si>
  <si>
    <t>Basement_Singles_40.png</t>
  </si>
  <si>
    <t>Basement_Singles_41.png</t>
  </si>
  <si>
    <t>Basement_Singles_42.png</t>
  </si>
  <si>
    <t>Basement_Singles_43.png</t>
  </si>
  <si>
    <t>Basement_Singles_44.png</t>
  </si>
  <si>
    <t>Basement_Singles_45.png</t>
  </si>
  <si>
    <t>Basement_Singles_46.png</t>
  </si>
  <si>
    <t>Basement_Singles_47.png</t>
  </si>
  <si>
    <t>Basement_Singles_48.png</t>
  </si>
  <si>
    <t>Basement_Singles_49.png</t>
  </si>
  <si>
    <t>Basement_Singles_50.png</t>
  </si>
  <si>
    <t>Basement_Singles_51.png</t>
  </si>
  <si>
    <t>Basement_Singles_52.png</t>
  </si>
  <si>
    <t>Basement_Singles_53.png</t>
  </si>
  <si>
    <t>Basement_Singles_54.png</t>
  </si>
  <si>
    <t>Basement_Singles_55.png</t>
  </si>
  <si>
    <t>Basement_Singles_56.png</t>
  </si>
  <si>
    <t>Basement_Singles_57.png</t>
  </si>
  <si>
    <t>Basement_Singles_58.png</t>
  </si>
  <si>
    <t>Basement_Singles_59.png</t>
  </si>
  <si>
    <t>Basement_Singles_60.png</t>
  </si>
  <si>
    <t>Basement_Singles_61.png</t>
  </si>
  <si>
    <t>Basement_Singles_62.png</t>
  </si>
  <si>
    <t>Basement_Singles_63.png</t>
  </si>
  <si>
    <t>Basement_Singles_64.png</t>
  </si>
  <si>
    <t>Basement_Singles_65.png</t>
  </si>
  <si>
    <t>Basement_Singles_66.png</t>
  </si>
  <si>
    <t>Basement_Singles_67.png</t>
  </si>
  <si>
    <t>Basement_Singles_68.png</t>
  </si>
  <si>
    <t>Basement_Singles_69.png</t>
  </si>
  <si>
    <t>Basement_Singles_70.png</t>
  </si>
  <si>
    <t>Basement_Singles_71.png</t>
  </si>
  <si>
    <t>Basement_Singles_72.png</t>
  </si>
  <si>
    <t>Basement_Singles_73.png</t>
  </si>
  <si>
    <t>Basement_Singles_74.png</t>
  </si>
  <si>
    <t>Basement_Singles_75.png</t>
  </si>
  <si>
    <t>Basement_Singles_76.png</t>
  </si>
  <si>
    <t>Basement_Singles_77.png</t>
  </si>
  <si>
    <t>Basement_Singles_78.png</t>
  </si>
  <si>
    <t>Basement_Singles_79.png</t>
  </si>
  <si>
    <t>Basement_Singles_80.png</t>
  </si>
  <si>
    <t>Basement_Singles_81.png</t>
  </si>
  <si>
    <t>Basement_Singles_82.png</t>
  </si>
  <si>
    <t>Basement_Singles_83.png</t>
  </si>
  <si>
    <t>Basement_Singles_84.png</t>
  </si>
  <si>
    <t>Basement_Singles_85.png</t>
  </si>
  <si>
    <t>Basement_Singles_86.png</t>
  </si>
  <si>
    <t>Basement_Singles_87.png</t>
  </si>
  <si>
    <t>Basement_Singles_88.png</t>
  </si>
  <si>
    <t>Basement_Singles_89.png</t>
  </si>
  <si>
    <t>Basement_Singles_90.png</t>
  </si>
  <si>
    <t>Basement_Singles_91.png</t>
  </si>
  <si>
    <t>Basement_Singles_92.png</t>
  </si>
  <si>
    <t>Basement_Singles_93.png</t>
  </si>
  <si>
    <t>Basement_Singles_94.png</t>
  </si>
  <si>
    <t>Basement_Singles_95.png</t>
  </si>
  <si>
    <t>Basement_Singles_96.png</t>
  </si>
  <si>
    <t>Basement_Singles_97.png</t>
  </si>
  <si>
    <t>Basement_Singles_98.png</t>
  </si>
  <si>
    <t>Basement_Singles_99.png</t>
  </si>
  <si>
    <t>Basement_Singles_100.png</t>
  </si>
  <si>
    <t>Basement_Singles_101.png</t>
  </si>
  <si>
    <t>Basement_Singles_102.png</t>
  </si>
  <si>
    <t>Basement_Singles_103.png</t>
  </si>
  <si>
    <t>Basement_Singles_104.png</t>
  </si>
  <si>
    <t>Basement_Singles_105.png</t>
  </si>
  <si>
    <t>Basement_Singles_106.png</t>
  </si>
  <si>
    <t>Basement_Singles_107.png</t>
  </si>
  <si>
    <t>Basement_Singles_108.png</t>
  </si>
  <si>
    <t>Basement_Singles_109.png</t>
  </si>
  <si>
    <t>Basement_Singles_110.png</t>
  </si>
  <si>
    <t>Basement_Singles_111.png</t>
  </si>
  <si>
    <t>Basement_Singles_112.png</t>
  </si>
  <si>
    <t>Basement_Singles_113.png</t>
  </si>
  <si>
    <t>Basement_Singles_114.png</t>
  </si>
  <si>
    <t>Basement_Singles_115.png</t>
  </si>
  <si>
    <t>Basement_Singles_116.png</t>
  </si>
  <si>
    <t>Basement_Singles_117.png</t>
  </si>
  <si>
    <t>Basement_Singles_118.png</t>
  </si>
  <si>
    <t>Basement_Singles_119.png</t>
  </si>
  <si>
    <t>Basement_Singles_120.png</t>
  </si>
  <si>
    <t>Basement_Singles_121.png</t>
  </si>
  <si>
    <t>Basement_Singles_122.png</t>
  </si>
  <si>
    <t>Basement_Singles_123.png</t>
  </si>
  <si>
    <t>Basement_Singles_124.png</t>
  </si>
  <si>
    <t>Basement_Singles_125.png</t>
  </si>
  <si>
    <t>Basement_Singles_126.png</t>
  </si>
  <si>
    <t>Basement_Singles_127.png</t>
  </si>
  <si>
    <t>Basement_Singles_128.png</t>
  </si>
  <si>
    <t>Basement_Singles_129.png</t>
  </si>
  <si>
    <t>Basement_Singles_130.png</t>
  </si>
  <si>
    <t>Basement_Singles_131.png</t>
  </si>
  <si>
    <t>Basement_Singles_132.png</t>
  </si>
  <si>
    <t>Basement_Singles_133.png</t>
  </si>
  <si>
    <t>Basement_Singles_134.png</t>
  </si>
  <si>
    <t>Basement_Singles_135.png</t>
  </si>
  <si>
    <t>Basement_Singles_136.png</t>
  </si>
  <si>
    <t>Basement_Singles_137.png</t>
  </si>
  <si>
    <t>Basement_Singles_138.png</t>
  </si>
  <si>
    <t>Basement_Singles_139.png</t>
  </si>
  <si>
    <t>Basement_Singles_140.png</t>
  </si>
  <si>
    <t>Basement_Singles_141.png</t>
  </si>
  <si>
    <t>Basement_Singles_142.png</t>
  </si>
  <si>
    <t>Basement_Singles_143.png</t>
  </si>
  <si>
    <t>Basement_Singles_144.png</t>
  </si>
  <si>
    <t>Basement_Singles_145.png</t>
  </si>
  <si>
    <t>Basement_Singles_146.png</t>
  </si>
  <si>
    <t>Basement_Singles_147.png</t>
  </si>
  <si>
    <t>Basement_Singles_148.png</t>
  </si>
  <si>
    <t>Basement_Singles_149.png</t>
  </si>
  <si>
    <t>Basement_Singles_150.png</t>
  </si>
  <si>
    <t>Basement_Singles_151.png</t>
  </si>
  <si>
    <t>Basement_Singles_152.png</t>
  </si>
  <si>
    <t>Basement_Singles_153.png</t>
  </si>
  <si>
    <t>Basement_Singles_154.png</t>
  </si>
  <si>
    <t>Basement_Singles_155.png</t>
  </si>
  <si>
    <t>Basement_Singles_156.png</t>
  </si>
  <si>
    <t>Basement_Singles_157.png</t>
  </si>
  <si>
    <t>Basement_Singles_158.png</t>
  </si>
  <si>
    <t>Basement_Singles_159.png</t>
  </si>
  <si>
    <t>Basement_Singles_160.png</t>
  </si>
  <si>
    <t>Basement_Singles_161.png</t>
  </si>
  <si>
    <t>Basement_Singles_162.png</t>
  </si>
  <si>
    <t>Basement_Singles_163.png</t>
  </si>
  <si>
    <t>Basement_Singles_164.png</t>
  </si>
  <si>
    <t>Basement_Singles_165.png</t>
  </si>
  <si>
    <t>Basement_Singles_166.png</t>
  </si>
  <si>
    <t>Basement_Singles_167.png</t>
  </si>
  <si>
    <t>Basement_Singles_168.png</t>
  </si>
  <si>
    <t>Basement_Singles_169.png</t>
  </si>
  <si>
    <t>Basement_Singles_170.png</t>
  </si>
  <si>
    <t>Basement_Singles_171.png</t>
  </si>
  <si>
    <t>Basement_Singles_172.png</t>
  </si>
  <si>
    <t>Basement_Singles_173.png</t>
  </si>
  <si>
    <t>Basement_Singles_174.png</t>
  </si>
  <si>
    <t>Basement_Singles_175.png</t>
  </si>
  <si>
    <t>Basement_Singles_176.png</t>
  </si>
  <si>
    <t>Basement_Singles_177.png</t>
  </si>
  <si>
    <t>Basement_Singles_178.png</t>
  </si>
  <si>
    <t>Basement_Singles_179.png</t>
  </si>
  <si>
    <t>Basement_Singles_180.png</t>
  </si>
  <si>
    <t>Basement_Singles_181.png</t>
  </si>
  <si>
    <t>Basement_Singles_182.png</t>
  </si>
  <si>
    <t>Basement_Singles_183.png</t>
  </si>
  <si>
    <t>Basement_Singles_184.png</t>
  </si>
  <si>
    <t>Basement_Singles_185.png</t>
  </si>
  <si>
    <t>Basement_Singles_186.png</t>
  </si>
  <si>
    <t>Basement_Singles_187.png</t>
  </si>
  <si>
    <t>Basement_Singles_188.png</t>
  </si>
  <si>
    <t>Basement_Singles_189.png</t>
  </si>
  <si>
    <t>Basement_Singles_190.png</t>
  </si>
  <si>
    <t>Basement_Singles_191.png</t>
  </si>
  <si>
    <t>Basement_Singles_192.png</t>
  </si>
  <si>
    <t>Basement_Singles_193.png</t>
  </si>
  <si>
    <t>Basement_Singles_194.png</t>
  </si>
  <si>
    <t>Basement_Singles_195.png</t>
  </si>
  <si>
    <t>Basement_Singles_196.png</t>
  </si>
  <si>
    <t>Basement_Singles_197.png</t>
  </si>
  <si>
    <t>Basement_Singles_198.png</t>
  </si>
  <si>
    <t>Basement_Singles_199.png</t>
  </si>
  <si>
    <t>Basement_Singles_200.png</t>
  </si>
  <si>
    <t>Basement_Singles_201.png</t>
  </si>
  <si>
    <t>Basement_Singles_202.png</t>
  </si>
  <si>
    <t>Basement_Singles_203.png</t>
  </si>
  <si>
    <t>Basement_Singles_204.png</t>
  </si>
  <si>
    <t>Basement_Singles_205.png</t>
  </si>
  <si>
    <t>Basement_Singles_206.png</t>
  </si>
  <si>
    <t>Basement_Singles_207.png</t>
  </si>
  <si>
    <t>Basement_Singles_208.png</t>
  </si>
  <si>
    <t>Basement_Singles_209.png</t>
  </si>
  <si>
    <t>Basement_Singles_210.png</t>
  </si>
  <si>
    <t>Basement_Singles_211.png</t>
  </si>
  <si>
    <t>Basement_Singles_212.png</t>
  </si>
  <si>
    <t>Basement_Singles_213.png</t>
  </si>
  <si>
    <t>Basement_Singles_214.png</t>
  </si>
  <si>
    <t>Basement_Singles_215.png</t>
  </si>
  <si>
    <t>Basement_Singles_216.png</t>
  </si>
  <si>
    <t>Basement_Singles_217.png</t>
  </si>
  <si>
    <t>Basement_Singles_218.png</t>
  </si>
  <si>
    <t>Basement_Singles_219.png</t>
  </si>
  <si>
    <t>Basement_Singles_220.png</t>
  </si>
  <si>
    <t>Basement_Singles_221.png</t>
  </si>
  <si>
    <t>Basement_Singles_222.png</t>
  </si>
  <si>
    <t>Basement_Singles_223.png</t>
  </si>
  <si>
    <t>Basement_Singles_224.png</t>
  </si>
  <si>
    <t>Basement_Singles_225.png</t>
  </si>
  <si>
    <t>Basement_Singles_226.png</t>
  </si>
  <si>
    <t>Basement_Singles_227.png</t>
  </si>
  <si>
    <t>Basement_Singles_228.png</t>
  </si>
  <si>
    <t>Basement_Singles_229.png</t>
  </si>
  <si>
    <t>Basement_Singles_230.png</t>
  </si>
  <si>
    <t>Basement_Singles_231.png</t>
  </si>
  <si>
    <t>Basement_Singles_232.png</t>
  </si>
  <si>
    <t>Basement_Singles_233.png</t>
  </si>
  <si>
    <t>Basement_Singles_234.png</t>
  </si>
  <si>
    <t>Basement_Singles_235.png</t>
  </si>
  <si>
    <t>Basement_Singles_236.png</t>
  </si>
  <si>
    <t>Basement_Singles_237.png</t>
  </si>
  <si>
    <t>Basement_Singles_238.png</t>
  </si>
  <si>
    <t>Basement_Singles_239.png</t>
  </si>
  <si>
    <t>Basement_Singles_240.png</t>
  </si>
  <si>
    <t>Basement_Singles_241.png</t>
  </si>
  <si>
    <t>Basement_Singles_242.png</t>
  </si>
  <si>
    <t>Basement_Singles_243.png</t>
  </si>
  <si>
    <t>Basement_Singles_244.png</t>
  </si>
  <si>
    <t>Basement_Singles_245.png</t>
  </si>
  <si>
    <t>Basement_Singles_246.png</t>
  </si>
  <si>
    <t>Christmas_SIngles_1.png</t>
  </si>
  <si>
    <t>Christmas_SIngles_2.png</t>
  </si>
  <si>
    <t>Christmas_SIngles_3.png</t>
  </si>
  <si>
    <t>Christmas_SIngles_4.png</t>
  </si>
  <si>
    <t>Christmas_SIngles_5.png</t>
  </si>
  <si>
    <t>Christmas_SIngles_6.png</t>
  </si>
  <si>
    <t>Christmas_SIngles_7.png</t>
  </si>
  <si>
    <t>Christmas_SIngles_8.png</t>
  </si>
  <si>
    <t>Christmas_SIngles_9.png</t>
  </si>
  <si>
    <t>Christmas_SIngles_10.png</t>
  </si>
  <si>
    <t>Christmas_SIngles_11.png</t>
  </si>
  <si>
    <t>Christmas_SIngles_12.png</t>
  </si>
  <si>
    <t>Christmas_SIngles_13.png</t>
  </si>
  <si>
    <t>Christmas_SIngles_14.png</t>
  </si>
  <si>
    <t>Christmas_SIngles_15.png</t>
  </si>
  <si>
    <t>Christmas_SIngles_16.png</t>
  </si>
  <si>
    <t>Christmas_SIngles_17.png</t>
  </si>
  <si>
    <t>Christmas_SIngles_18.png</t>
  </si>
  <si>
    <t>Christmas_SIngles_19.png</t>
  </si>
  <si>
    <t>Christmas_SIngles_20.png</t>
  </si>
  <si>
    <t>Christmas_SIngles_21.png</t>
  </si>
  <si>
    <t>Christmas_SIngles_22.png</t>
  </si>
  <si>
    <t>Christmas_SIngles_23.png</t>
  </si>
  <si>
    <t>Christmas_SIngles_24.png</t>
  </si>
  <si>
    <t>Christmas_SIngles_25.png</t>
  </si>
  <si>
    <t>Christmas_SIngles_26.png</t>
  </si>
  <si>
    <t>Christmas_SIngles_27.png</t>
  </si>
  <si>
    <t>Christmas_SIngles_28.png</t>
  </si>
  <si>
    <t>Christmas_SIngles_29.png</t>
  </si>
  <si>
    <t>Christmas_SIngles_30.png</t>
  </si>
  <si>
    <t>Christmas_SIngles_31.png</t>
  </si>
  <si>
    <t>Christmas_SIngles_32.png</t>
  </si>
  <si>
    <t>Christmas_SIngles_33.png</t>
  </si>
  <si>
    <t>Christmas_SIngles_34.png</t>
  </si>
  <si>
    <t>Christmas_SIngles_35.png</t>
  </si>
  <si>
    <t>Christmas_SIngles_36.png</t>
  </si>
  <si>
    <t>Christmas_SIngles_37.png</t>
  </si>
  <si>
    <t>Christmas_SIngles_38.png</t>
  </si>
  <si>
    <t>Christmas_SIngles_39.png</t>
  </si>
  <si>
    <t>Christmas_SIngles_40.png</t>
  </si>
  <si>
    <t>Christmas_SIngles_41.png</t>
  </si>
  <si>
    <t>Christmas_SIngles_42.png</t>
  </si>
  <si>
    <t>Christmas_SIngles_43.png</t>
  </si>
  <si>
    <t>Christmas_SIngles_44.png</t>
  </si>
  <si>
    <t>Christmas_SIngles_45.png</t>
  </si>
  <si>
    <t>Christmas_SIngles_46.png</t>
  </si>
  <si>
    <t>Christmas_SIngles_47.png</t>
  </si>
  <si>
    <t>Christmas_SIngles_48.png</t>
  </si>
  <si>
    <t>Christmas_SIngles_49.png</t>
  </si>
  <si>
    <t>Christmas_SIngles_50.png</t>
  </si>
  <si>
    <t>Christmas_SIngles_51.png</t>
  </si>
  <si>
    <t>Christmas_SIngles_52.png</t>
  </si>
  <si>
    <t>Christmas_SIngles_53.png</t>
  </si>
  <si>
    <t>Christmas_SIngles_54.png</t>
  </si>
  <si>
    <t>Christmas_SIngles_55.png</t>
  </si>
  <si>
    <t>Christmas_SIngles_56.png</t>
  </si>
  <si>
    <t>Christmas_SIngles_57.png</t>
  </si>
  <si>
    <t>Christmas_SIngles_58.png</t>
  </si>
  <si>
    <t>Christmas_SIngles_59.png</t>
  </si>
  <si>
    <t>Christmas_SIngles_60.png</t>
  </si>
  <si>
    <t>Christmas_SIngles_61.png</t>
  </si>
  <si>
    <t>Christmas_SIngles_62.png</t>
  </si>
  <si>
    <t>Christmas_SIngles_63.png</t>
  </si>
  <si>
    <t>Christmas_SIngles_64.png</t>
  </si>
  <si>
    <t>Christmas_SIngles_65.png</t>
  </si>
  <si>
    <t>Christmas_SIngles_66.png</t>
  </si>
  <si>
    <t>Christmas_SIngles_67.png</t>
  </si>
  <si>
    <t>Christmas_SIngles_68.png</t>
  </si>
  <si>
    <t>Christmas_SIngles_69.png</t>
  </si>
  <si>
    <t>Christmas_SIngles_70.png</t>
  </si>
  <si>
    <t>Christmas_SIngles_71.png</t>
  </si>
  <si>
    <t>Christmas_SIngles_72.png</t>
  </si>
  <si>
    <t>Christmas_SIngles_73.png</t>
  </si>
  <si>
    <t>Christmas_SIngles_74.png</t>
  </si>
  <si>
    <t>Christmas_SIngles_75.png</t>
  </si>
  <si>
    <t>Christmas_SIngles_76.png</t>
  </si>
  <si>
    <t>Christmas_SIngles_77.png</t>
  </si>
  <si>
    <t>Christmas_SIngles_78.png</t>
  </si>
  <si>
    <t>Christmas_SIngles_79.png</t>
  </si>
  <si>
    <t>Christmas_SIngles_80.png</t>
  </si>
  <si>
    <t>Christmas_SIngles_81.png</t>
  </si>
  <si>
    <t>Christmas_SIngles_82.png</t>
  </si>
  <si>
    <t>Christmas_SIngles_83.png</t>
  </si>
  <si>
    <t>Christmas_SIngles_84.png</t>
  </si>
  <si>
    <t>Christmas_SIngles_85.png</t>
  </si>
  <si>
    <t>Christmas_SIngles_86.png</t>
  </si>
  <si>
    <t>Christmas_SIngles_87.png</t>
  </si>
  <si>
    <t>Christmas_SIngles_88.png</t>
  </si>
  <si>
    <t>Christmas_SIngles_89.png</t>
  </si>
  <si>
    <t>Christmas_SIngles_90.png</t>
  </si>
  <si>
    <t>Christmas_SIngles_91.png</t>
  </si>
  <si>
    <t>Christmas_SIngles_92.png</t>
  </si>
  <si>
    <t>Christmas_SIngles_93.png</t>
  </si>
  <si>
    <t>Christmas_SIngles_94.png</t>
  </si>
  <si>
    <t>Christmas_SIngles_95.png</t>
  </si>
  <si>
    <t>Christmas_SIngles_96.png</t>
  </si>
  <si>
    <t>Christmas_SIngles_97.png</t>
  </si>
  <si>
    <t>Christmas_SIngles_98.png</t>
  </si>
  <si>
    <t>Christmas_SIngles_99.png</t>
  </si>
  <si>
    <t>Christmas_SIngles_100.png</t>
  </si>
  <si>
    <t>Christmas_SIngles_101.png</t>
  </si>
  <si>
    <t>Christmas_SIngles_102.png</t>
  </si>
  <si>
    <t>Christmas_SIngles_103.png</t>
  </si>
  <si>
    <t>Christmas_SIngles_104.png</t>
  </si>
  <si>
    <t>Christmas_SIngles_105.png</t>
  </si>
  <si>
    <t>Christmas_SIngles_106.png</t>
  </si>
  <si>
    <t>Christmas_SIngles_107.png</t>
  </si>
  <si>
    <t>Christmas_SIngles_108.png</t>
  </si>
  <si>
    <t>Christmas_SIngles_109.png</t>
  </si>
  <si>
    <t>Christmas_SIngles_110.png</t>
  </si>
  <si>
    <t>Christmas_SIngles_111.png</t>
  </si>
  <si>
    <t>Christmas_SIngles_112.png</t>
  </si>
  <si>
    <t>Christmas_SIngles_113.png</t>
  </si>
  <si>
    <t>Christmas_SIngles_114.png</t>
  </si>
  <si>
    <t>Christmas_SIngles_115.png</t>
  </si>
  <si>
    <t>Christmas_SIngles_116.png</t>
  </si>
  <si>
    <t>Christmas_SIngles_117.png</t>
  </si>
  <si>
    <t>Christmas_SIngles_118.png</t>
  </si>
  <si>
    <t>Christmas_SIngles_119.png</t>
  </si>
  <si>
    <t>Christmas_SIngles_120.png</t>
  </si>
  <si>
    <t>Christmas_SIngles_121.png</t>
  </si>
  <si>
    <t>Christmas_SIngles_122.png</t>
  </si>
  <si>
    <t>Christmas_SIngles_123.png</t>
  </si>
  <si>
    <t>Grocery_Store_Singles_1.png</t>
  </si>
  <si>
    <t>closed sign</t>
  </si>
  <si>
    <t>Grocery_Store_Singles_2.png</t>
  </si>
  <si>
    <t>open sign</t>
  </si>
  <si>
    <t>Grocery_Store_Singles_3.png</t>
  </si>
  <si>
    <t>shopping cart, empty, right</t>
  </si>
  <si>
    <t>Grocery_Store_Singles_4.png</t>
  </si>
  <si>
    <t>shopping cart, full, right</t>
  </si>
  <si>
    <t>Grocery_Store_Singles_5.png</t>
  </si>
  <si>
    <t>Grocery_Store_Singles_6.png</t>
  </si>
  <si>
    <t>Grocery_Store_Singles_7.png</t>
  </si>
  <si>
    <t>Grocery_Store_Singles_8.png</t>
  </si>
  <si>
    <t>Grocery_Store_Singles_9.png</t>
  </si>
  <si>
    <t>Grocery_Store_Singles_10.png</t>
  </si>
  <si>
    <t>Grocery_Store_Singles_11.png</t>
  </si>
  <si>
    <t>Grocery_Store_Singles_12.png</t>
  </si>
  <si>
    <t>Grocery_Store_Singles_13.png</t>
  </si>
  <si>
    <t>Grocery_Store_Singles_14.png</t>
  </si>
  <si>
    <t>Grocery_Store_Singles_15.png</t>
  </si>
  <si>
    <t>shopping cart, empty, left</t>
  </si>
  <si>
    <t>Grocery_Store_Singles_16.png</t>
  </si>
  <si>
    <t>shopping cart, full, left</t>
  </si>
  <si>
    <t>Grocery_Store_Singles_17.png</t>
  </si>
  <si>
    <t>Grocery_Store_Singles_18.png</t>
  </si>
  <si>
    <t>Grocery_Store_Singles_19.png</t>
  </si>
  <si>
    <t>Grocery_Store_Singles_20.png</t>
  </si>
  <si>
    <t>Grocery_Store_Singles_21.png</t>
  </si>
  <si>
    <t>Grocery_Store_Singles_22.png</t>
  </si>
  <si>
    <t>Grocery_Store_Singles_23.png</t>
  </si>
  <si>
    <t>Grocery_Store_Singles_24.png</t>
  </si>
  <si>
    <t>Grocery_Store_Singles_25.png</t>
  </si>
  <si>
    <t>Grocery_Store_Singles_26.png</t>
  </si>
  <si>
    <t>Grocery_Store_Singles_27.png</t>
  </si>
  <si>
    <t>shopping cart, empty, down</t>
  </si>
  <si>
    <t>Grocery_Store_Singles_28.png</t>
  </si>
  <si>
    <t>shopping cart, full, down</t>
  </si>
  <si>
    <t>Grocery_Store_Singles_29.png</t>
  </si>
  <si>
    <t>Grocery_Store_Singles_30.png</t>
  </si>
  <si>
    <t>Grocery_Store_Singles_31.png</t>
  </si>
  <si>
    <t>Grocery_Store_Singles_32.png</t>
  </si>
  <si>
    <t>Grocery_Store_Singles_33.png</t>
  </si>
  <si>
    <t>Grocery_Store_Singles_34.png</t>
  </si>
  <si>
    <t>Grocery_Store_Singles_35.png</t>
  </si>
  <si>
    <t>Grocery_Store_Singles_36.png</t>
  </si>
  <si>
    <t>Grocery_Store_Singles_37.png</t>
  </si>
  <si>
    <t>Grocery_Store_Singles_38.png</t>
  </si>
  <si>
    <t>Grocery_Store_Singles_39.png</t>
  </si>
  <si>
    <t>shopping cart, empty, up</t>
  </si>
  <si>
    <t>Grocery_Store_Singles_40.png</t>
  </si>
  <si>
    <t>shopping cart, full, up</t>
  </si>
  <si>
    <t>Grocery_Store_Singles_41.png</t>
  </si>
  <si>
    <t>Grocery_Store_Singles_42.png</t>
  </si>
  <si>
    <t>Grocery_Store_Singles_43.png</t>
  </si>
  <si>
    <t>Grocery_Store_Singles_44.png</t>
  </si>
  <si>
    <t>Grocery_Store_Singles_45.png</t>
  </si>
  <si>
    <t>Grocery_Store_Singles_46.png</t>
  </si>
  <si>
    <t>Grocery_Store_Singles_47.png</t>
  </si>
  <si>
    <t>Grocery_Store_Singles_48.png</t>
  </si>
  <si>
    <t>Grocery_Store_Singles_49.png</t>
  </si>
  <si>
    <t>Grocery_Store_Singles_50.png</t>
  </si>
  <si>
    <t>Grocery_Store_Singles_51.png</t>
  </si>
  <si>
    <t>cooler, empty, open</t>
  </si>
  <si>
    <t>Grocery_Store_Singles_52.png</t>
  </si>
  <si>
    <t>cooler, empty, closed</t>
  </si>
  <si>
    <t>Grocery_Store_Singles_53.png</t>
  </si>
  <si>
    <t>cooler, empty, open left</t>
  </si>
  <si>
    <t>Grocery_Store_Singles_54.png</t>
  </si>
  <si>
    <t>cooler, empty, open right</t>
  </si>
  <si>
    <t>Grocery_Store_Singles_55.png</t>
  </si>
  <si>
    <t>cooler, empty, open both</t>
  </si>
  <si>
    <t>Grocery_Store_Singles_56.png</t>
  </si>
  <si>
    <t>cooler, full, open</t>
  </si>
  <si>
    <t>Grocery_Store_Singles_57.png</t>
  </si>
  <si>
    <t>cooler, full, closed</t>
  </si>
  <si>
    <t>Grocery_Store_Singles_58.png</t>
  </si>
  <si>
    <t>cooler, full, open left</t>
  </si>
  <si>
    <t>Grocery_Store_Singles_59.png</t>
  </si>
  <si>
    <t>cooler, full, open right</t>
  </si>
  <si>
    <t>Grocery_Store_Singles_60.png</t>
  </si>
  <si>
    <t>cooler, full, open both</t>
  </si>
  <si>
    <t>Grocery_Store_Singles_61.png</t>
  </si>
  <si>
    <t>Grocery_Store_Singles_62.png</t>
  </si>
  <si>
    <t>Grocery_Store_Singles_63.png</t>
  </si>
  <si>
    <t>Grocery_Store_Singles_64.png</t>
  </si>
  <si>
    <t>Grocery_Store_Singles_65.png</t>
  </si>
  <si>
    <t>Grocery_Store_Singles_66.png</t>
  </si>
  <si>
    <t>Grocery_Store_Singles_67.png</t>
  </si>
  <si>
    <t>Grocery_Store_Singles_68.png</t>
  </si>
  <si>
    <t>Grocery_Store_Singles_69.png</t>
  </si>
  <si>
    <t>Grocery_Store_Singles_70.png</t>
  </si>
  <si>
    <t>Grocery_Store_Singles_71.png</t>
  </si>
  <si>
    <t>Grocery_Store_Singles_72.png</t>
  </si>
  <si>
    <t>Grocery_Store_Singles_73.png</t>
  </si>
  <si>
    <t>Grocery_Store_Singles_74.png</t>
  </si>
  <si>
    <t>Grocery_Store_Singles_75.png</t>
  </si>
  <si>
    <t>Grocery_Store_Singles_76.png</t>
  </si>
  <si>
    <t>shelf, empty, partial, left</t>
  </si>
  <si>
    <t>Grocery_Store_Singles_77.png</t>
  </si>
  <si>
    <t>shelf, empty, partial, middle</t>
  </si>
  <si>
    <t>Grocery_Store_Singles_78.png</t>
  </si>
  <si>
    <t>shelf, empty, partial, right</t>
  </si>
  <si>
    <t>Grocery_Store_Singles_79.png</t>
  </si>
  <si>
    <t>Grocery_Store_Singles_80.png</t>
  </si>
  <si>
    <t>Grocery_Store_Singles_81.png</t>
  </si>
  <si>
    <t>Grocery_Store_Singles_82.png</t>
  </si>
  <si>
    <t>Grocery_Store_Singles_83.png</t>
  </si>
  <si>
    <t>Grocery_Store_Singles_84.png</t>
  </si>
  <si>
    <t>Grocery_Store_Singles_85.png</t>
  </si>
  <si>
    <t>Grocery_Store_Singles_86.png</t>
  </si>
  <si>
    <t>Grocery_Store_Singles_87.png</t>
  </si>
  <si>
    <t>Grocery_Store_Singles_88.png</t>
  </si>
  <si>
    <t>label, discount, 10%</t>
  </si>
  <si>
    <t>Grocery_Store_Singles_89.png</t>
  </si>
  <si>
    <t>label, discount, 20%</t>
  </si>
  <si>
    <t>Grocery_Store_Singles_90.png</t>
  </si>
  <si>
    <t>label, discount, 50%</t>
  </si>
  <si>
    <t>Grocery_Store_Singles_91.png</t>
  </si>
  <si>
    <t>label, discount, 60%</t>
  </si>
  <si>
    <t>Grocery_Store_Singles_92.png</t>
  </si>
  <si>
    <t>label, discount, 90%</t>
  </si>
  <si>
    <t>Grocery_Store_Singles_93.png</t>
  </si>
  <si>
    <t>Grocery_Store_Singles_94.png</t>
  </si>
  <si>
    <t>Grocery_Store_Singles_95.png</t>
  </si>
  <si>
    <t>Grocery_Store_Singles_96.png</t>
  </si>
  <si>
    <t>Grocery_Store_Singles_97.png</t>
  </si>
  <si>
    <t>Grocery_Store_Singles_98.png</t>
  </si>
  <si>
    <t>shelf, full, partial, middle</t>
  </si>
  <si>
    <t>Grocery_Store_Singles_99.png</t>
  </si>
  <si>
    <t>Grocery_Store_Singles_100.png</t>
  </si>
  <si>
    <t>Grocery_Store_Singles_101.png</t>
  </si>
  <si>
    <t>Grocery_Store_Singles_102.png</t>
  </si>
  <si>
    <t>Grocery_Store_Singles_103.png</t>
  </si>
  <si>
    <t>Grocery_Store_Singles_104.png</t>
  </si>
  <si>
    <t>Grocery_Store_Singles_105.png</t>
  </si>
  <si>
    <t>Grocery_Store_Singles_106.png</t>
  </si>
  <si>
    <t>Grocery_Store_Singles_107.png</t>
  </si>
  <si>
    <t>shelf, empty, partial, top, vertical</t>
  </si>
  <si>
    <t>Grocery_Store_Singles_108.png</t>
  </si>
  <si>
    <t>shelf, empty, partial, bottom, vertical</t>
  </si>
  <si>
    <t>Grocery_Store_Singles_109.png</t>
  </si>
  <si>
    <t>shelf, empty, partial, middle, vertical</t>
  </si>
  <si>
    <t>Grocery_Store_Singles_110.png</t>
  </si>
  <si>
    <t>Grocery_Store_Singles_111.png</t>
  </si>
  <si>
    <t>Grocery_Store_Singles_112.png</t>
  </si>
  <si>
    <t>Grocery_Store_Singles_113.png</t>
  </si>
  <si>
    <t>shelf, full, vertical</t>
  </si>
  <si>
    <t>Grocery_Store_Singles_114.png</t>
  </si>
  <si>
    <t>Grocery_Store_Singles_115.png</t>
  </si>
  <si>
    <t>Grocery_Store_Singles_116.png</t>
  </si>
  <si>
    <t>Grocery_Store_Singles_117.png</t>
  </si>
  <si>
    <t>basket, yellow, small, empty</t>
  </si>
  <si>
    <t>Grocery_Store_Singles_118.png</t>
  </si>
  <si>
    <t>basket, yellow, small, full, products, bottle</t>
  </si>
  <si>
    <t>Grocery_Store_Singles_119.png</t>
  </si>
  <si>
    <t>basket, yellow, small, full, products</t>
  </si>
  <si>
    <t>Grocery_Store_Singles_120.png</t>
  </si>
  <si>
    <t>basket, yellow, small, full, products, bags</t>
  </si>
  <si>
    <t>Grocery_Store_Singles_121.png</t>
  </si>
  <si>
    <t>Grocery_Store_Singles_122.png</t>
  </si>
  <si>
    <t>Grocery_Store_Singles_123.png</t>
  </si>
  <si>
    <t>basket, large, yellow, empty</t>
  </si>
  <si>
    <t>Grocery_Store_Singles_124.png</t>
  </si>
  <si>
    <t>basket, white, small, empty</t>
  </si>
  <si>
    <t>Grocery_Store_Singles_125.png</t>
  </si>
  <si>
    <t>basket, white, small, full, products, bottle</t>
  </si>
  <si>
    <t>Grocery_Store_Singles_126.png</t>
  </si>
  <si>
    <t>basket, white, small, full, products</t>
  </si>
  <si>
    <t>Grocery_Store_Singles_127.png</t>
  </si>
  <si>
    <t>basket, white, small, full, products, bags</t>
  </si>
  <si>
    <t>Grocery_Store_Singles_128.png</t>
  </si>
  <si>
    <t>Grocery_Store_Singles_129.png</t>
  </si>
  <si>
    <t>Grocery_Store_Singles_130.png</t>
  </si>
  <si>
    <t>basket, large, white, empty</t>
  </si>
  <si>
    <t>Grocery_Store_Singles_131.png</t>
  </si>
  <si>
    <t>Grocery_Store_Singles_132.png</t>
  </si>
  <si>
    <t>Grocery_Store_Singles_133.png</t>
  </si>
  <si>
    <t>Grocery_Store_Singles_134.png</t>
  </si>
  <si>
    <t>Grocery_Store_Singles_135.png</t>
  </si>
  <si>
    <t>Grocery_Store_Singles_136.png</t>
  </si>
  <si>
    <t>Grocery_Store_Singles_137.png</t>
  </si>
  <si>
    <t>Grocery_Store_Singles_138.png</t>
  </si>
  <si>
    <t>basket, green, small, empty</t>
  </si>
  <si>
    <t>Grocery_Store_Singles_139.png</t>
  </si>
  <si>
    <t>basket, green, small, full, products, bottle</t>
  </si>
  <si>
    <t>Grocery_Store_Singles_140.png</t>
  </si>
  <si>
    <t>basket, green, small, full, products</t>
  </si>
  <si>
    <t>Grocery_Store_Singles_141.png</t>
  </si>
  <si>
    <t>basket, green, small, full, products, bags</t>
  </si>
  <si>
    <t>Grocery_Store_Singles_142.png</t>
  </si>
  <si>
    <t>Grocery_Store_Singles_143.png</t>
  </si>
  <si>
    <t>Grocery_Store_Singles_144.png</t>
  </si>
  <si>
    <t>basket, large, green, empty</t>
  </si>
  <si>
    <t>Grocery_Store_Singles_145.png</t>
  </si>
  <si>
    <t>freezer, empty, open</t>
  </si>
  <si>
    <t>Grocery_Store_Singles_146.png</t>
  </si>
  <si>
    <t>freezer, empty, closed</t>
  </si>
  <si>
    <t>Grocery_Store_Singles_147.png</t>
  </si>
  <si>
    <t>freezer, full, open, products</t>
  </si>
  <si>
    <t>Grocery_Store_Singles_148.png</t>
  </si>
  <si>
    <t>freezer, full, closed, products</t>
  </si>
  <si>
    <t>Grocery_Store_Singles_149.png</t>
  </si>
  <si>
    <t>Grocery_Store_Singles_150.png</t>
  </si>
  <si>
    <t>Grocery_Store_Singles_151.png</t>
  </si>
  <si>
    <t>detector, anti-theft, horizontal</t>
  </si>
  <si>
    <t>Grocery_Store_Singles_152.png</t>
  </si>
  <si>
    <t>detector, anti-theft, vertical, right</t>
  </si>
  <si>
    <t>Grocery_Store_Singles_153.png</t>
  </si>
  <si>
    <t>detector, anti-theft, vertical, left</t>
  </si>
  <si>
    <t>Grocery_Store_Singles_154.png</t>
  </si>
  <si>
    <t>glass pane, large, partial, left</t>
  </si>
  <si>
    <t>Grocery_Store_Singles_155.png</t>
  </si>
  <si>
    <t>glass pane, large, partial, right</t>
  </si>
  <si>
    <t>Grocery_Store_Singles_156.png</t>
  </si>
  <si>
    <t>glass pane, small</t>
  </si>
  <si>
    <t>Grocery_Store_Singles_157.png</t>
  </si>
  <si>
    <t>glass pane, medium</t>
  </si>
  <si>
    <t>Grocery_Store_Singles_158.png</t>
  </si>
  <si>
    <t>checkout counter, vertical, right, chair, yellow</t>
  </si>
  <si>
    <t>Grocery_Store_Singles_159.png</t>
  </si>
  <si>
    <t>Grocery_Store_Singles_160.png</t>
  </si>
  <si>
    <t>Grocery_Store_Singles_161.png</t>
  </si>
  <si>
    <t>checkout counter, vertical, right, chair, blue</t>
  </si>
  <si>
    <t>Grocery_Store_Singles_162.png</t>
  </si>
  <si>
    <t>Grocery_Store_Singles_163.png</t>
  </si>
  <si>
    <t>Grocery_Store_Singles_164.png</t>
  </si>
  <si>
    <t>checkout counter, vertical, left, chair, yellow</t>
  </si>
  <si>
    <t>Grocery_Store_Singles_165.png</t>
  </si>
  <si>
    <t>Grocery_Store_Singles_166.png</t>
  </si>
  <si>
    <t>Grocery_Store_Singles_167.png</t>
  </si>
  <si>
    <t>checkout counter, vertical, left, chair, blue</t>
  </si>
  <si>
    <t>Grocery_Store_Singles_168.png</t>
  </si>
  <si>
    <t>Grocery_Store_Singles_169.png</t>
  </si>
  <si>
    <t>Grocery_Store_Singles_170.png</t>
  </si>
  <si>
    <t>checkout counter, horizontal</t>
  </si>
  <si>
    <t>Grocery_Store_Singles_171.png</t>
  </si>
  <si>
    <t>checkout counter, horizontal, chair, yellow</t>
  </si>
  <si>
    <t>Grocery_Store_Singles_172.png</t>
  </si>
  <si>
    <t>checkout counter, horizontal, chair, blue</t>
  </si>
  <si>
    <t>Grocery_Store_Singles_173.png</t>
  </si>
  <si>
    <t>Grocery_Store_Singles_174.png</t>
  </si>
  <si>
    <t>Grocery_Store_Singles_175.png</t>
  </si>
  <si>
    <t>Grocery_Store_Singles_176.png</t>
  </si>
  <si>
    <t>Grocery_Store_Singles_177.png</t>
  </si>
  <si>
    <t>Grocery_Store_Singles_178.png</t>
  </si>
  <si>
    <t>Grocery_Store_Singles_179.png</t>
  </si>
  <si>
    <t>Grocery_Store_Singles_180.png</t>
  </si>
  <si>
    <t>Grocery_Store_Singles_181.png</t>
  </si>
  <si>
    <t>Grocery_Store_Singles_182.png</t>
  </si>
  <si>
    <t>Grocery_Store_Singles_183.png</t>
  </si>
  <si>
    <t>Grocery_Store_Singles_184.png</t>
  </si>
  <si>
    <t>Grocery_Store_Singles_185.png</t>
  </si>
  <si>
    <t>Grocery_Store_Singles_186.png</t>
  </si>
  <si>
    <t>Grocery_Store_Singles_187.png</t>
  </si>
  <si>
    <t>Grocery_Store_Singles_188.png</t>
  </si>
  <si>
    <t>Grocery_Store_Singles_189.png</t>
  </si>
  <si>
    <t>Grocery_Store_Singles_190.png</t>
  </si>
  <si>
    <t>Grocery_Store_Singles_191.png</t>
  </si>
  <si>
    <t>Grocery_Store_Singles_192.png</t>
  </si>
  <si>
    <t>Grocery_Store_Singles_193.png</t>
  </si>
  <si>
    <t>Grocery_Store_Singles_194.png</t>
  </si>
  <si>
    <t>Grocery_Store_Singles_195.png</t>
  </si>
  <si>
    <t>Grocery_Store_Singles_196.png</t>
  </si>
  <si>
    <t>Grocery_Store_Singles_197.png</t>
  </si>
  <si>
    <t>Grocery_Store_Singles_198.png</t>
  </si>
  <si>
    <t>Grocery_Store_Singles_199.png</t>
  </si>
  <si>
    <t>Grocery_Store_Singles_200.png</t>
  </si>
  <si>
    <t>Grocery_Store_Singles_201.png</t>
  </si>
  <si>
    <t>Grocery_Store_Singles_202.png</t>
  </si>
  <si>
    <t>Grocery_Store_Singles_203.png</t>
  </si>
  <si>
    <t>Grocery_Store_Singles_204.png</t>
  </si>
  <si>
    <t>Grocery_Store_Singles_205.png</t>
  </si>
  <si>
    <t>Grocery_Store_Singles_206.png</t>
  </si>
  <si>
    <t>Grocery_Store_Singles_207.png</t>
  </si>
  <si>
    <t>Grocery_Store_Singles_208.png</t>
  </si>
  <si>
    <t>Grocery_Store_Singles_209.png</t>
  </si>
  <si>
    <t>Grocery_Store_Singles_210.png</t>
  </si>
  <si>
    <t>Grocery_Store_Singles_211.png</t>
  </si>
  <si>
    <t>Grocery_Store_Singles_212.png</t>
  </si>
  <si>
    <t>Grocery_Store_Singles_213.png</t>
  </si>
  <si>
    <t>Grocery_Store_Singles_214.png</t>
  </si>
  <si>
    <t>Grocery_Store_Singles_215.png</t>
  </si>
  <si>
    <t>Grocery_Store_Singles_216.png</t>
  </si>
  <si>
    <t>Grocery_Store_Singles_217.png</t>
  </si>
  <si>
    <t>Grocery_Store_Singles_218.png</t>
  </si>
  <si>
    <t>Grocery_Store_Singles_219.png</t>
  </si>
  <si>
    <t>Grocery_Store_Singles_220.png</t>
  </si>
  <si>
    <t>Grocery_Store_Singles_221.png</t>
  </si>
  <si>
    <t>Grocery_Store_Singles_222.png</t>
  </si>
  <si>
    <t>Grocery_Store_Singles_223.png</t>
  </si>
  <si>
    <t>Grocery_Store_Singles_224.png</t>
  </si>
  <si>
    <t>Grocery_Store_Singles_225.png</t>
  </si>
  <si>
    <t>Grocery_Store_Singles_226.png</t>
  </si>
  <si>
    <t>Grocery_Store_Singles_227.png</t>
  </si>
  <si>
    <t>Grocery_Store_Singles_228.png</t>
  </si>
  <si>
    <t>Grocery_Store_Singles_229.png</t>
  </si>
  <si>
    <t>Grocery_Store_Singles_230.png</t>
  </si>
  <si>
    <t>Grocery_Store_Singles_231.png</t>
  </si>
  <si>
    <t>Grocery_Store_Singles_232.png</t>
  </si>
  <si>
    <t>Grocery_Store_Singles_233.png</t>
  </si>
  <si>
    <t>Grocery_Store_Singles_234.png</t>
  </si>
  <si>
    <t>Grocery_Store_Singles_235.png</t>
  </si>
  <si>
    <t>Grocery_Store_Singles_236.png</t>
  </si>
  <si>
    <t>Grocery_Store_Singles_237.png</t>
  </si>
  <si>
    <t>Grocery_Store_Singles_238.png</t>
  </si>
  <si>
    <t>Grocery_Store_Singles_239.png</t>
  </si>
  <si>
    <t>Grocery_Store_Singles_240.png</t>
  </si>
  <si>
    <t>Grocery_Store_Singles_241.png</t>
  </si>
  <si>
    <t>Grocery_Store_Singles_242.png</t>
  </si>
  <si>
    <t>Grocery_Store_Singles_243.png</t>
  </si>
  <si>
    <t>Grocery_Store_Singles_244.png</t>
  </si>
  <si>
    <t>Grocery_Store_Singles_245.png</t>
  </si>
  <si>
    <t>Grocery_Store_Singles_246.png</t>
  </si>
  <si>
    <t>Grocery_Store_Singles_247.png</t>
  </si>
  <si>
    <t>Grocery_Store_Singles_248.png</t>
  </si>
  <si>
    <t>Grocery_Store_Singles_249.png</t>
  </si>
  <si>
    <t>Grocery_Store_Singles_250.png</t>
  </si>
  <si>
    <t>Grocery_Store_Singles_251.png</t>
  </si>
  <si>
    <t>Grocery_Store_Singles_252.png</t>
  </si>
  <si>
    <t>Grocery_Store_Singles_253.png</t>
  </si>
  <si>
    <t>Grocery_Store_Singles_254.png</t>
  </si>
  <si>
    <t>Grocery_Store_Singles_255.png</t>
  </si>
  <si>
    <t>Grocery_Store_Singles_256.png</t>
  </si>
  <si>
    <t>Grocery_Store_Singles_257.png</t>
  </si>
  <si>
    <t>Grocery_Store_Singles_258.png</t>
  </si>
  <si>
    <t>Grocery_Store_Singles_259.png</t>
  </si>
  <si>
    <t>Grocery_Store_Singles_260.png</t>
  </si>
  <si>
    <t>Grocery_Store_Singles_261.png</t>
  </si>
  <si>
    <t>Grocery_Store_Singles_262.png</t>
  </si>
  <si>
    <t>Grocery_Store_Singles_263.png</t>
  </si>
  <si>
    <t>Grocery_Store_Singles_264.png</t>
  </si>
  <si>
    <t>Grocery_Store_Singles_265.png</t>
  </si>
  <si>
    <t>Grocery_Store_Singles_266.png</t>
  </si>
  <si>
    <t>Grocery_Store_Singles_267.png</t>
  </si>
  <si>
    <t>Grocery_Store_Singles_268.png</t>
  </si>
  <si>
    <t>Grocery_Store_Singles_269.png</t>
  </si>
  <si>
    <t>Grocery_Store_Singles_270.png</t>
  </si>
  <si>
    <t>Grocery_Store_Singles_271.png</t>
  </si>
  <si>
    <t>Grocery_Store_Singles_272.png</t>
  </si>
  <si>
    <t>Grocery_Store_Singles_273.png</t>
  </si>
  <si>
    <t>Grocery_Store_Singles_274.png</t>
  </si>
  <si>
    <t>Grocery_Store_Singles_275.png</t>
  </si>
  <si>
    <t>Grocery_Store_Singles_276.png</t>
  </si>
  <si>
    <t>Grocery_Store_Singles_277.png</t>
  </si>
  <si>
    <t>Grocery_Store_Singles_278.png</t>
  </si>
  <si>
    <t>Grocery_Store_Singles_279.png</t>
  </si>
  <si>
    <t>Grocery_Store_Singles_280.png</t>
  </si>
  <si>
    <t>Grocery_Store_Singles_281.png</t>
  </si>
  <si>
    <t>Grocery_Store_Singles_282.png</t>
  </si>
  <si>
    <t>Grocery_Store_Singles_283.png</t>
  </si>
  <si>
    <t>Grocery_Store_Singles_284.png</t>
  </si>
  <si>
    <t>Grocery_Store_Singles_285.png</t>
  </si>
  <si>
    <t>Grocery_Store_Singles_286.png</t>
  </si>
  <si>
    <t>Grocery_Store_Singles_287.png</t>
  </si>
  <si>
    <t>Grocery_Store_Singles_288.png</t>
  </si>
  <si>
    <t>Grocery_Store_Singles_289.png</t>
  </si>
  <si>
    <t>Grocery_Store_Singles_290.png</t>
  </si>
  <si>
    <t>Grocery_Store_Singles_291.png</t>
  </si>
  <si>
    <t>Grocery_Store_Singles_292.png</t>
  </si>
  <si>
    <t>Grocery_Store_Singles_293.png</t>
  </si>
  <si>
    <t>Grocery_Store_Singles_294.png</t>
  </si>
  <si>
    <t>Grocery_Store_Singles_295.png</t>
  </si>
  <si>
    <t>Grocery_Store_Singles_296.png</t>
  </si>
  <si>
    <t>Grocery_Store_Singles_297.png</t>
  </si>
  <si>
    <t>Grocery_Store_Singles_298.png</t>
  </si>
  <si>
    <t>Grocery_Store_Singles_299.png</t>
  </si>
  <si>
    <t>Grocery_Store_Singles_300.png</t>
  </si>
  <si>
    <t>Grocery_Store_Singles_301.png</t>
  </si>
  <si>
    <t>Grocery_Store_Singles_302.png</t>
  </si>
  <si>
    <t>Grocery_Store_Singles_303.png</t>
  </si>
  <si>
    <t>Grocery_Store_Singles_304.png</t>
  </si>
  <si>
    <t>Grocery_Store_Singles_305.png</t>
  </si>
  <si>
    <t>Grocery_Store_Singles_306.png</t>
  </si>
  <si>
    <t>Grocery_Store_Singles_307.png</t>
  </si>
  <si>
    <t>Grocery_Store_Singles_308.png</t>
  </si>
  <si>
    <t>Grocery_Store_Singles_309.png</t>
  </si>
  <si>
    <t>Grocery_Store_Singles_310.png</t>
  </si>
  <si>
    <t>Grocery_Store_Singles_311.png</t>
  </si>
  <si>
    <t>Grocery_Store_Singles_312.png</t>
  </si>
  <si>
    <t>Grocery_Store_Singles_313.png</t>
  </si>
  <si>
    <t>Grocery_Store_Singles_314.png</t>
  </si>
  <si>
    <t>Grocery_Store_Singles_315.png</t>
  </si>
  <si>
    <t>Grocery_Store_Singles_316.png</t>
  </si>
  <si>
    <t>Grocery_Store_Singles_317.png</t>
  </si>
  <si>
    <t>Grocery_Store_Singles_318.png</t>
  </si>
  <si>
    <t>Grocery_Store_Singles_319.png</t>
  </si>
  <si>
    <t>Grocery_Store_Singles_320.png</t>
  </si>
  <si>
    <t>Grocery_Store_Singles_321.png</t>
  </si>
  <si>
    <t>Grocery_Store_Singles_322.png</t>
  </si>
  <si>
    <t>Grocery_Store_Singles_323.png</t>
  </si>
  <si>
    <t>Grocery_Store_Singles_324.png</t>
  </si>
  <si>
    <t>Grocery_Store_Singles_325.png</t>
  </si>
  <si>
    <t>Grocery_Store_Singles_326.png</t>
  </si>
  <si>
    <t>Grocery_Store_Singles_327.png</t>
  </si>
  <si>
    <t>Grocery_Store_Singles_328.png</t>
  </si>
  <si>
    <t>Grocery_Store_Singles_329.png</t>
  </si>
  <si>
    <t>Grocery_Store_Singles_330.png</t>
  </si>
  <si>
    <t>Grocery_Store_Singles_331.png</t>
  </si>
  <si>
    <t>Grocery_Store_Singles_332.png</t>
  </si>
  <si>
    <t>Grocery_Store_Singles_333.png</t>
  </si>
  <si>
    <t>Grocery_Store_Singles_334.png</t>
  </si>
  <si>
    <t>Grocery_Store_Singles_335.png</t>
  </si>
  <si>
    <t>Grocery_Store_Singles_336.png</t>
  </si>
  <si>
    <t>Grocery_Store_Singles_337.png</t>
  </si>
  <si>
    <t>Grocery_Store_Singles_338.png</t>
  </si>
  <si>
    <t>Grocery_Store_Singles_339.png</t>
  </si>
  <si>
    <t>Grocery_Store_Singles_340.png</t>
  </si>
  <si>
    <t>Grocery_Store_Singles_341.png</t>
  </si>
  <si>
    <t>Grocery_Store_Singles_342.png</t>
  </si>
  <si>
    <t>Grocery_Store_Singles_343.png</t>
  </si>
  <si>
    <t>Grocery_Store_Singles_344.png</t>
  </si>
  <si>
    <t>Grocery_Store_Singles_345.png</t>
  </si>
  <si>
    <t>Grocery_Store_Singles_346.png</t>
  </si>
  <si>
    <t>Grocery_Store_Singles_347.png</t>
  </si>
  <si>
    <t>Grocery_Store_Singles_348.png</t>
  </si>
  <si>
    <t>Grocery_Store_Singles_349.png</t>
  </si>
  <si>
    <t>Grocery_Store_Singles_350.png</t>
  </si>
  <si>
    <t>Grocery_Store_Singles_351.png</t>
  </si>
  <si>
    <t>Grocery_Store_Singles_352.png</t>
  </si>
  <si>
    <t>Grocery_Store_Singles_353.png</t>
  </si>
  <si>
    <t>Grocery_Store_Singles_354.png</t>
  </si>
  <si>
    <t>Grocery_Store_Singles_355.png</t>
  </si>
  <si>
    <t>Grocery_Store_Singles_356.png</t>
  </si>
  <si>
    <t>Grocery_Store_Singles_357.png</t>
  </si>
  <si>
    <t>Grocery_Store_Singles_358.png</t>
  </si>
  <si>
    <t>Grocery_Store_Singles_359.png</t>
  </si>
  <si>
    <t>Grocery_Store_Singles_360.png</t>
  </si>
  <si>
    <t>Grocery_Store_Singles_361.png</t>
  </si>
  <si>
    <t>Grocery_Store_Singles_362.png</t>
  </si>
  <si>
    <t>Grocery_Store_Singles_363.png</t>
  </si>
  <si>
    <t>Grocery_Store_Singles_364.png</t>
  </si>
  <si>
    <t>Grocery_Store_Singles_365.png</t>
  </si>
  <si>
    <t>Grocery_Store_Singles_366.png</t>
  </si>
  <si>
    <t>Grocery_Store_Singles_367.png</t>
  </si>
  <si>
    <t>Grocery_Store_Singles_368.png</t>
  </si>
  <si>
    <t>Grocery_Store_Singles_369.png</t>
  </si>
  <si>
    <t>Grocery_Store_Singles_370.png</t>
  </si>
  <si>
    <t>Grocery_Store_Singles_371.png</t>
  </si>
  <si>
    <t>Grocery_Store_Singles_372.png</t>
  </si>
  <si>
    <t>Grocery_Store_Singles_373.png</t>
  </si>
  <si>
    <t>Grocery_Store_Singles_374.png</t>
  </si>
  <si>
    <t>Grocery_Store_Singles_375.png</t>
  </si>
  <si>
    <t>Grocery_Store_Singles_376.png</t>
  </si>
  <si>
    <t>Grocery_Store_Singles_377.png</t>
  </si>
  <si>
    <t>Grocery_Store_Singles_378.png</t>
  </si>
  <si>
    <t>Grocery_Store_Singles_379.png</t>
  </si>
  <si>
    <t>Grocery_Store_Singles_380.png</t>
  </si>
  <si>
    <t>Grocery_Store_Singles_381.png</t>
  </si>
  <si>
    <t>Grocery_Store_Singles_382.png</t>
  </si>
  <si>
    <t>Grocery_Store_Singles_383.png</t>
  </si>
  <si>
    <t>Grocery_Store_Singles_384.png</t>
  </si>
  <si>
    <t>Grocery_Store_Singles_385.png</t>
  </si>
  <si>
    <t>Grocery_Store_Singles_386.png</t>
  </si>
  <si>
    <t>Grocery_Store_Singles_387.png</t>
  </si>
  <si>
    <t>Grocery_Store_Singles_388.png</t>
  </si>
  <si>
    <t>Grocery_Store_Singles_389.png</t>
  </si>
  <si>
    <t>Grocery_Store_Singles_390.png</t>
  </si>
  <si>
    <t>Grocery_Store_Singles_391.png</t>
  </si>
  <si>
    <t>Grocery_Store_Singles_392.png</t>
  </si>
  <si>
    <t>Grocery_Store_Singles_393.png</t>
  </si>
  <si>
    <t>Grocery_Store_Singles_394.png</t>
  </si>
  <si>
    <t>Grocery_Store_Singles_395.png</t>
  </si>
  <si>
    <t>Grocery_Store_Singles_396.png</t>
  </si>
  <si>
    <t>Grocery_Store_Singles_397.png</t>
  </si>
  <si>
    <t>Grocery_Store_Singles_398.png</t>
  </si>
  <si>
    <t>Grocery_Store_Singles_399.png</t>
  </si>
  <si>
    <t>Grocery_Store_Singles_400.png</t>
  </si>
  <si>
    <t>Grocery_Store_Singles_401.png</t>
  </si>
  <si>
    <t>Grocery_Store_Singles_402.png</t>
  </si>
  <si>
    <t>Grocery_Store_Singles_403.png</t>
  </si>
  <si>
    <t>Grocery_Store_Singles_404.png</t>
  </si>
  <si>
    <t>Grocery_Store_Singles_405.png</t>
  </si>
  <si>
    <t>Grocery_Store_Singles_406.png</t>
  </si>
  <si>
    <t>Grocery_Store_Singles_407.png</t>
  </si>
  <si>
    <t>Grocery_Store_Singles_408.png</t>
  </si>
  <si>
    <t>Grocery_Store_Singles_409.png</t>
  </si>
  <si>
    <t>Grocery_Store_Singles_410.png</t>
  </si>
  <si>
    <t>Grocery_Store_Singles_411.png</t>
  </si>
  <si>
    <t>Grocery_Store_Singles_412.png</t>
  </si>
  <si>
    <t>Grocery_Store_Singles_413.png</t>
  </si>
  <si>
    <t>Grocery_Store_Singles_414.png</t>
  </si>
  <si>
    <t>Grocery_Store_Singles_415.png</t>
  </si>
  <si>
    <t>Grocery_Store_Singles_416.png</t>
  </si>
  <si>
    <t>Grocery_Store_Singles_417.png</t>
  </si>
  <si>
    <t>Grocery_Store_Singles_418.png</t>
  </si>
  <si>
    <t>Grocery_Store_Singles_419.png</t>
  </si>
  <si>
    <t>Grocery_Store_Singles_420.png</t>
  </si>
  <si>
    <t>Grocery_Store_Singles_421.png</t>
  </si>
  <si>
    <t>Grocery_Store_Singles_422.png</t>
  </si>
  <si>
    <t>Grocery_Store_Singles_423.png</t>
  </si>
  <si>
    <t>Grocery_Store_Singles_424.png</t>
  </si>
  <si>
    <t>Grocery_Store_Singles_425.png</t>
  </si>
  <si>
    <t>Grocery_Store_Singles_426.png</t>
  </si>
  <si>
    <t>Grocery_Store_Singles_427.png</t>
  </si>
  <si>
    <t>Grocery_Store_Singles_428.png</t>
  </si>
  <si>
    <t>Grocery_Store_Singles_429.png</t>
  </si>
  <si>
    <t>Grocery_Store_Singles_430.png</t>
  </si>
  <si>
    <t>Grocery_Store_Singles_431.png</t>
  </si>
  <si>
    <t>Grocery_Store_Singles_432.png</t>
  </si>
  <si>
    <t>Grocery_Store_Singles_433.png</t>
  </si>
  <si>
    <t>Grocery_Store_Singles_434.png</t>
  </si>
  <si>
    <t>Grocery_Store_Singles_435.png</t>
  </si>
  <si>
    <t>Grocery_Store_Singles_436.png</t>
  </si>
  <si>
    <t>Grocery_Store_Singles_437.png</t>
  </si>
  <si>
    <t>Grocery_Store_Singles_438.png</t>
  </si>
  <si>
    <t>Grocery_Store_Singles_439.png</t>
  </si>
  <si>
    <t>Grocery_Store_Singles_440.png</t>
  </si>
  <si>
    <t>Grocery_Store_Singles_441.png</t>
  </si>
  <si>
    <t>Grocery_Store_Singles_442.png</t>
  </si>
  <si>
    <t>Grocery_Store_Singles_443.png</t>
  </si>
  <si>
    <t>Grocery_Store_Singles_444.png</t>
  </si>
  <si>
    <t>Grocery_Store_Singles_445.png</t>
  </si>
  <si>
    <t>Grocery_Store_Singles_446.png</t>
  </si>
  <si>
    <t>Grocery_Store_Singles_447.png</t>
  </si>
  <si>
    <t>Grocery_Store_Singles_448.png</t>
  </si>
  <si>
    <t>Grocery_Store_Singles_449.png</t>
  </si>
  <si>
    <t>Grocery_Store_Singles_450.png</t>
  </si>
  <si>
    <t>Grocery_Store_Singles_451.png</t>
  </si>
  <si>
    <t>Grocery_Store_Singles_452.png</t>
  </si>
  <si>
    <t>Grocery_Store_Singles_453.png</t>
  </si>
  <si>
    <t>Grocery_Store_Singles_454.png</t>
  </si>
  <si>
    <t>Grocery_Store_Singles_455.png</t>
  </si>
  <si>
    <t>Grocery_Store_Singles_456.png</t>
  </si>
  <si>
    <t>Grocery_Store_Singles_457.png</t>
  </si>
  <si>
    <t>Grocery_Store_Singles_458.png</t>
  </si>
  <si>
    <t>Grocery_Store_Singles_459.png</t>
  </si>
  <si>
    <t>Grocery_Store_Singles_460.png</t>
  </si>
  <si>
    <t>Grocery_Store_Singles_461.png</t>
  </si>
  <si>
    <t>Grocery_Store_Singles_462.png</t>
  </si>
  <si>
    <t>Grocery_Store_Singles_463.png</t>
  </si>
  <si>
    <t>Grocery_Store_Singles_464.png</t>
  </si>
  <si>
    <t>Grocery_Store_Singles_465.png</t>
  </si>
  <si>
    <t>Grocery_Store_Singles_466.png</t>
  </si>
  <si>
    <t>Grocery_Store_Singles_467.png</t>
  </si>
  <si>
    <t>Grocery_Store_Singles_468.png</t>
  </si>
  <si>
    <t>Grocery_Store_Singles_469.png</t>
  </si>
  <si>
    <t>Grocery_Store_Singles_470.png</t>
  </si>
  <si>
    <t>Grocery_Store_Singles_471.png</t>
  </si>
  <si>
    <t>Grocery_Store_Singles_472.png</t>
  </si>
  <si>
    <t>Grocery_Store_Singles_473.png</t>
  </si>
  <si>
    <t>Grocery_Store_Singles_474.png</t>
  </si>
  <si>
    <t>Grocery_Store_Singles_475.png</t>
  </si>
  <si>
    <t>Grocery_Store_Singles_476.png</t>
  </si>
  <si>
    <t>Grocery_Store_Singles_477.png</t>
  </si>
  <si>
    <t>Grocery_Store_Singles_478.png</t>
  </si>
  <si>
    <t>Grocery_Store_Singles_479.png</t>
  </si>
  <si>
    <t>Grocery_Store_Singles_480.png</t>
  </si>
  <si>
    <t>Grocery_Store_Singles_481.png</t>
  </si>
  <si>
    <t>Grocery_Store_Singles_482.png</t>
  </si>
  <si>
    <t>Grocery_Store_Singles_483.png</t>
  </si>
  <si>
    <t>Grocery_Store_Singles_484.png</t>
  </si>
  <si>
    <t>Grocery_Store_Singles_485.png</t>
  </si>
  <si>
    <t>Grocery_Store_Singles_486.png</t>
  </si>
  <si>
    <t>Grocery_Store_Singles_487.png</t>
  </si>
  <si>
    <t>Grocery_Store_Singles_488.png</t>
  </si>
  <si>
    <t>Grocery_Store_Singles_489.png</t>
  </si>
  <si>
    <t>Jail_Singles_1.png</t>
  </si>
  <si>
    <t>Jail_Singles_2.png</t>
  </si>
  <si>
    <t>Jail_Singles_3.png</t>
  </si>
  <si>
    <t>Jail_Singles_4.png</t>
  </si>
  <si>
    <t>Jail_Singles_5.png</t>
  </si>
  <si>
    <t>Jail_Singles_6.png</t>
  </si>
  <si>
    <t>Jail_Singles_7.png</t>
  </si>
  <si>
    <t>Jail_Singles_8.png</t>
  </si>
  <si>
    <t>Jail_Singles_9.png</t>
  </si>
  <si>
    <t>Jail_Singles_10.png</t>
  </si>
  <si>
    <t>Jail_Singles_11.png</t>
  </si>
  <si>
    <t>Jail_Singles_12.png</t>
  </si>
  <si>
    <t>Jail_Singles_13.png</t>
  </si>
  <si>
    <t>Jail_Singles_14.png</t>
  </si>
  <si>
    <t>Jail_Singles_15.png</t>
  </si>
  <si>
    <t>Jail_Singles_16.png</t>
  </si>
  <si>
    <t>Jail_Singles_17.png</t>
  </si>
  <si>
    <t>Jail_Singles_18.png</t>
  </si>
  <si>
    <t>Jail_Singles_19.png</t>
  </si>
  <si>
    <t>Jail_Singles_20.png</t>
  </si>
  <si>
    <t>Jail_Singles_21.png</t>
  </si>
  <si>
    <t>Jail_Singles_22.png</t>
  </si>
  <si>
    <t>Jail_Singles_23.png</t>
  </si>
  <si>
    <t>Jail_Singles_24.png</t>
  </si>
  <si>
    <t>Jail_Singles_25.png</t>
  </si>
  <si>
    <t>Jail_Singles_26.png</t>
  </si>
  <si>
    <t>Jail_Singles_27.png</t>
  </si>
  <si>
    <t>Jail_Singles_28.png</t>
  </si>
  <si>
    <t>Jail_Singles_29.png</t>
  </si>
  <si>
    <t>Jail_Singles_30.png</t>
  </si>
  <si>
    <t>Jail_Singles_31.png</t>
  </si>
  <si>
    <t>Jail_Singles_32.png</t>
  </si>
  <si>
    <t>Jail_Singles_33.png</t>
  </si>
  <si>
    <t>Jail_Singles_34.png</t>
  </si>
  <si>
    <t>Jail_Singles_35.png</t>
  </si>
  <si>
    <t>Jail_Singles_36.png</t>
  </si>
  <si>
    <t>Jail_Singles_37.png</t>
  </si>
  <si>
    <t>Jail_Singles_38.png</t>
  </si>
  <si>
    <t>Jail_Singles_39.png</t>
  </si>
  <si>
    <t>Jail_Singles_40.png</t>
  </si>
  <si>
    <t>Jail_Singles_41.png</t>
  </si>
  <si>
    <t>Jail_Singles_42.png</t>
  </si>
  <si>
    <t>Jail_Singles_43.png</t>
  </si>
  <si>
    <t>Jail_Singles_44.png</t>
  </si>
  <si>
    <t>Jail_Singles_45.png</t>
  </si>
  <si>
    <t>Jail_Singles_46.png</t>
  </si>
  <si>
    <t>Jail_Singles_47.png</t>
  </si>
  <si>
    <t>Jail_Singles_48.png</t>
  </si>
  <si>
    <t>Jail_Singles_49.png</t>
  </si>
  <si>
    <t>Jail_Singles_50.png</t>
  </si>
  <si>
    <t>Jail_Singles_51.png</t>
  </si>
  <si>
    <t>Jail_Singles_52.png</t>
  </si>
  <si>
    <t>Jail_Singles_53.png</t>
  </si>
  <si>
    <t>Jail_Singles_54.png</t>
  </si>
  <si>
    <t>Jail_Singles_55.png</t>
  </si>
  <si>
    <t>Jail_Singles_56.png</t>
  </si>
  <si>
    <t>Jail_Singles_57.png</t>
  </si>
  <si>
    <t>Jail_Singles_58.png</t>
  </si>
  <si>
    <t>Jail_Singles_59.png</t>
  </si>
  <si>
    <t>Jail_Singles_60.png</t>
  </si>
  <si>
    <t>Jail_Singles_61.png</t>
  </si>
  <si>
    <t>Jail_Singles_62.png</t>
  </si>
  <si>
    <t>Jail_Singles_63.png</t>
  </si>
  <si>
    <t>Jail_Singles_64.png</t>
  </si>
  <si>
    <t>Jail_Singles_65.png</t>
  </si>
  <si>
    <t>Jail_Singles_66.png</t>
  </si>
  <si>
    <t>Jail_Singles_67.png</t>
  </si>
  <si>
    <t>Jail_Singles_68.png</t>
  </si>
  <si>
    <t>Jail_Singles_69.png</t>
  </si>
  <si>
    <t>Jail_Singles_70.png</t>
  </si>
  <si>
    <t>Jail_Singles_71.png</t>
  </si>
  <si>
    <t>Jail_Singles_72.png</t>
  </si>
  <si>
    <t>Jail_Singles_73.png</t>
  </si>
  <si>
    <t>Jail_Singles_74.png</t>
  </si>
  <si>
    <t>Jail_Singles_75.png</t>
  </si>
  <si>
    <t>Jail_Singles_76.png</t>
  </si>
  <si>
    <t>Jail_Singles_77.png</t>
  </si>
  <si>
    <t>Jail_Singles_78.png</t>
  </si>
  <si>
    <t>Jail_Singles_79.png</t>
  </si>
  <si>
    <t>Jail_Singles_80.png</t>
  </si>
  <si>
    <t>Jail_Singles_81.png</t>
  </si>
  <si>
    <t>Jail_Singles_82.png</t>
  </si>
  <si>
    <t>Jail_Singles_83.png</t>
  </si>
  <si>
    <t>Jail_Singles_84.png</t>
  </si>
  <si>
    <t>Jail_Singles_85.png</t>
  </si>
  <si>
    <t>Jail_Singles_86.png</t>
  </si>
  <si>
    <t>Jail_Singles_87.png</t>
  </si>
  <si>
    <t>Jail_Singles_88.png</t>
  </si>
  <si>
    <t>Jail_Singles_89.png</t>
  </si>
  <si>
    <t>Jail_Singles_90.png</t>
  </si>
  <si>
    <t>Jail_Singles_91.png</t>
  </si>
  <si>
    <t>Jail_Singles_92.png</t>
  </si>
  <si>
    <t>Jail_Singles_93.png</t>
  </si>
  <si>
    <t>Jail_Singles_94.png</t>
  </si>
  <si>
    <t>Jail_Singles_95.png</t>
  </si>
  <si>
    <t>Jail_Singles_96.png</t>
  </si>
  <si>
    <t>Jail_Singles_97.png</t>
  </si>
  <si>
    <t>Jail_Singles_98.png</t>
  </si>
  <si>
    <t>Jail_Singles_99.png</t>
  </si>
  <si>
    <t>Jail_Singles_100.png</t>
  </si>
  <si>
    <t>Jail_Singles_101.png</t>
  </si>
  <si>
    <t>Jail_Singles_102.png</t>
  </si>
  <si>
    <t>Jail_Singles_103.png</t>
  </si>
  <si>
    <t>Jail_Singles_104.png</t>
  </si>
  <si>
    <t>Jail_Singles_105.png</t>
  </si>
  <si>
    <t>Jail_Singles_106.png</t>
  </si>
  <si>
    <t>Jail_Singles_107.png</t>
  </si>
  <si>
    <t>Jail_Singles_108.png</t>
  </si>
  <si>
    <t>Jail_Singles_109.png</t>
  </si>
  <si>
    <t>Jail_Singles_110.png</t>
  </si>
  <si>
    <t>Jail_Singles_111.png</t>
  </si>
  <si>
    <t>Jail_Singles_112.png</t>
  </si>
  <si>
    <t>Jail_Singles_113.png</t>
  </si>
  <si>
    <t>Jail_Singles_114.png</t>
  </si>
  <si>
    <t>Jail_Singles_115.png</t>
  </si>
  <si>
    <t>Jail_Singles_116.png</t>
  </si>
  <si>
    <t>Jail_Singles_117.png</t>
  </si>
  <si>
    <t>Jail_Singles_118.png</t>
  </si>
  <si>
    <t>Jail_Singles_119.png</t>
  </si>
  <si>
    <t>Jail_Singles_120.png</t>
  </si>
  <si>
    <t>Jail_Singles_121.png</t>
  </si>
  <si>
    <t>Jail_Singles_122.png</t>
  </si>
  <si>
    <t>Jail_Singles_123.png</t>
  </si>
  <si>
    <t>Jail_Singles_124.png</t>
  </si>
  <si>
    <t>Jail_Singles_125.png</t>
  </si>
  <si>
    <t>Jail_Singles_126.png</t>
  </si>
  <si>
    <t>Jail_Singles_127.png</t>
  </si>
  <si>
    <t>Jail_Singles_128.png</t>
  </si>
  <si>
    <t>Jail_Singles_129.png</t>
  </si>
  <si>
    <t>Jail_Singles_130.png</t>
  </si>
  <si>
    <t>Jail_Singles_131.png</t>
  </si>
  <si>
    <t>Jail_Singles_132.png</t>
  </si>
  <si>
    <t>Jail_Singles_133.png</t>
  </si>
  <si>
    <t>Jail_Singles_134.png</t>
  </si>
  <si>
    <t>Jail_Singles_135.png</t>
  </si>
  <si>
    <t>Jail_Singles_136.png</t>
  </si>
  <si>
    <t>Jail_Singles_137.png</t>
  </si>
  <si>
    <t>Jail_Singles_138.png</t>
  </si>
  <si>
    <t>Jail_Singles_139.png</t>
  </si>
  <si>
    <t>Jail_Singles_140.png</t>
  </si>
  <si>
    <t>Jail_Singles_141.png</t>
  </si>
  <si>
    <t>Jail_Singles_142.png</t>
  </si>
  <si>
    <t>Jail_Singles_143.png</t>
  </si>
  <si>
    <t>Jail_Singles_144.png</t>
  </si>
  <si>
    <t>Jail_Singles_145.png</t>
  </si>
  <si>
    <t>Jail_Singles_146.png</t>
  </si>
  <si>
    <t>Jail_Singles_147.png</t>
  </si>
  <si>
    <t>Jail_Singles_148.png</t>
  </si>
  <si>
    <t>Jail_Singles_149.png</t>
  </si>
  <si>
    <t>Jail_Singles_150.png</t>
  </si>
  <si>
    <t>Jail_Singles_151.png</t>
  </si>
  <si>
    <t>Jail_Singles_152.png</t>
  </si>
  <si>
    <t>Jail_Singles_153.png</t>
  </si>
  <si>
    <t>Jail_Singles_154.png</t>
  </si>
  <si>
    <t>Jail_Singles_155.png</t>
  </si>
  <si>
    <t>Jail_Singles_156.png</t>
  </si>
  <si>
    <t>Jail_Singles_157.png</t>
  </si>
  <si>
    <t>Jail_Singles_158.png</t>
  </si>
  <si>
    <t>Jail_Singles_159.png</t>
  </si>
  <si>
    <t>Jail_Singles_160.png</t>
  </si>
  <si>
    <t>Jail_Singles_161.png</t>
  </si>
  <si>
    <t>Jail_Singles_162.png</t>
  </si>
  <si>
    <t>Jail_Singles_163.png</t>
  </si>
  <si>
    <t>Jail_Singles_164.png</t>
  </si>
  <si>
    <t>Jail_Singles_165.png</t>
  </si>
  <si>
    <t>Jail_Singles_166.png</t>
  </si>
  <si>
    <t>Jail_Singles_167.png</t>
  </si>
  <si>
    <t>Jail_Singles_168.png</t>
  </si>
  <si>
    <t>Jail_Singles_169.png</t>
  </si>
  <si>
    <t>Jail_Singles_170.png</t>
  </si>
  <si>
    <t>Jail_Singles_171.png</t>
  </si>
  <si>
    <t>Jail_Singles_172.png</t>
  </si>
  <si>
    <t>Jail_Singles_173.png</t>
  </si>
  <si>
    <t>Jail_Singles_174.png</t>
  </si>
  <si>
    <t>Jail_Singles_175.png</t>
  </si>
  <si>
    <t>Jail_Singles_176.png</t>
  </si>
  <si>
    <t>Jail_Singles_177.png</t>
  </si>
  <si>
    <t>Jail_Singles_178.png</t>
  </si>
  <si>
    <t>Jail_Singles_179.png</t>
  </si>
  <si>
    <t>Jail_Singles_180.png</t>
  </si>
  <si>
    <t>Jail_Singles_181.png</t>
  </si>
  <si>
    <t>Jail_Singles_182.png</t>
  </si>
  <si>
    <t>Jail_Singles_183.png</t>
  </si>
  <si>
    <t>Jail_Singles_184.png</t>
  </si>
  <si>
    <t>Jail_Singles_185.png</t>
  </si>
  <si>
    <t>Jail_Singles_186.png</t>
  </si>
  <si>
    <t>Jail_Singles_187.png</t>
  </si>
  <si>
    <t>Jail_Singles_188.png</t>
  </si>
  <si>
    <t>Jail_Singles_189.png</t>
  </si>
  <si>
    <t>Jail_Singles_190.png</t>
  </si>
  <si>
    <t>Jail_Singles_191.png</t>
  </si>
  <si>
    <t>Jail_Singles_192.png</t>
  </si>
  <si>
    <t>Jail_Singles_193.png</t>
  </si>
  <si>
    <t>Jail_Singles_194.png</t>
  </si>
  <si>
    <t>Jail_Singles_195.png</t>
  </si>
  <si>
    <t>Jail_Singles_196.png</t>
  </si>
  <si>
    <t>Jail_Singles_197.png</t>
  </si>
  <si>
    <t>Jail_Singles_198.png</t>
  </si>
  <si>
    <t>Jail_Singles_199.png</t>
  </si>
  <si>
    <t>Jail_Singles_200.png</t>
  </si>
  <si>
    <t>Jail_Singles_201.png</t>
  </si>
  <si>
    <t>Jail_Singles_202.png</t>
  </si>
  <si>
    <t>Jail_Singles_203.png</t>
  </si>
  <si>
    <t>Jail_Singles_204.png</t>
  </si>
  <si>
    <t>Jail_Singles_205.png</t>
  </si>
  <si>
    <t>Jail_Singles_206.png</t>
  </si>
  <si>
    <t>Jail_Singles_207.png</t>
  </si>
  <si>
    <t>Jail_Singles_208.png</t>
  </si>
  <si>
    <t>Jail_Singles_209.png</t>
  </si>
  <si>
    <t>Jail_Singles_210.png</t>
  </si>
  <si>
    <t>Jail_Singles_211.png</t>
  </si>
  <si>
    <t>Jail_Singles_212.png</t>
  </si>
  <si>
    <t>Jail_Singles_213.png</t>
  </si>
  <si>
    <t>Jail_Singles_214.png</t>
  </si>
  <si>
    <t>Jail_Singles_215.png</t>
  </si>
  <si>
    <t>Jail_Singles_216.png</t>
  </si>
  <si>
    <t>Jail_Singles_217.png</t>
  </si>
  <si>
    <t>Jail_Singles_218.png</t>
  </si>
  <si>
    <t>Jail_Singles_219.png</t>
  </si>
  <si>
    <t>Jail_Singles_220.png</t>
  </si>
  <si>
    <t>Jail_Singles_221.png</t>
  </si>
  <si>
    <t>Jail_Singles_222.png</t>
  </si>
  <si>
    <t>Jail_Singles_223.png</t>
  </si>
  <si>
    <t>Jail_Singles_224.png</t>
  </si>
  <si>
    <t>Jail_Singles_225.png</t>
  </si>
  <si>
    <t>Jail_Singles_226.png</t>
  </si>
  <si>
    <t>Jail_Singles_227.png</t>
  </si>
  <si>
    <t>Jail_Singles_228.png</t>
  </si>
  <si>
    <t>Jail_Singles_229.png</t>
  </si>
  <si>
    <t>Jail_Singles_230.png</t>
  </si>
  <si>
    <t>Jail_Singles_231.png</t>
  </si>
  <si>
    <t>Jail_Singles_232.png</t>
  </si>
  <si>
    <t>Jail_Singles_233.png</t>
  </si>
  <si>
    <t>Jail_Singles_234.png</t>
  </si>
  <si>
    <t>Jail_Singles_235.png</t>
  </si>
  <si>
    <t>Jail_Singles_236.png</t>
  </si>
  <si>
    <t>Jail_Singles_237.png</t>
  </si>
  <si>
    <t>Jail_Singles_238.png</t>
  </si>
  <si>
    <t>Jail_Singles_239.png</t>
  </si>
  <si>
    <t>Jail_Singles_240.png</t>
  </si>
  <si>
    <t>Jail_Singles_241.png</t>
  </si>
  <si>
    <t>Jail_Singles_242.png</t>
  </si>
  <si>
    <t>Jail_Singles_243.png</t>
  </si>
  <si>
    <t>Jail_Singles_244.png</t>
  </si>
  <si>
    <t>Jail_Singles_245.png</t>
  </si>
  <si>
    <t>Jail_Singles_246.png</t>
  </si>
  <si>
    <t>Jail_Singles_247.png</t>
  </si>
  <si>
    <t>Jail_Singles_248.png</t>
  </si>
  <si>
    <t>Jail_Singles_249.png</t>
  </si>
  <si>
    <t>Jail_Singles_250.png</t>
  </si>
  <si>
    <t>Jail_Singles_251.png</t>
  </si>
  <si>
    <t>Jail_Singles_252.png</t>
  </si>
  <si>
    <t>Jail_Singles_253.png</t>
  </si>
  <si>
    <t>Jail_Singles_254.png</t>
  </si>
  <si>
    <t>Jail_Singles_255.png</t>
  </si>
  <si>
    <t>Jail_Singles_256.png</t>
  </si>
  <si>
    <t>Jail_Singles_257.png</t>
  </si>
  <si>
    <t>Jail_Singles_258.png</t>
  </si>
  <si>
    <t>Jail_Singles_259.png</t>
  </si>
  <si>
    <t>Jail_Singles_260.png</t>
  </si>
  <si>
    <t>Jail_Singles_261.png</t>
  </si>
  <si>
    <t>Jail_Singles_262.png</t>
  </si>
  <si>
    <t>Jail_Singles_263.png</t>
  </si>
  <si>
    <t>Jail_Singles_264.png</t>
  </si>
  <si>
    <t>Jail_Singles_265.png</t>
  </si>
  <si>
    <t>Jail_Singles_266.png</t>
  </si>
  <si>
    <t>Jail_Singles_267.png</t>
  </si>
  <si>
    <t>Jail_Singles_268.png</t>
  </si>
  <si>
    <t>Jail_Singles_269.png</t>
  </si>
  <si>
    <t>Jail_Singles_270.png</t>
  </si>
  <si>
    <t>Jail_Singles_271.png</t>
  </si>
  <si>
    <t>Jail_Singles_272.png</t>
  </si>
  <si>
    <t>Jail_Singles_273.png</t>
  </si>
  <si>
    <t>Jail_Singles_274.png</t>
  </si>
  <si>
    <t>Jail_Singles_275.png</t>
  </si>
  <si>
    <t>Jail_Singles_276.png</t>
  </si>
  <si>
    <t>Jail_Singles_277.png</t>
  </si>
  <si>
    <t>Jail_Singles_278.png</t>
  </si>
  <si>
    <t>Jail_Singles_279.png</t>
  </si>
  <si>
    <t>Jail_Singles_280.png</t>
  </si>
  <si>
    <t>Jail_Singles_281.png</t>
  </si>
  <si>
    <t>Jail_Singles_282.png</t>
  </si>
  <si>
    <t>Jail_Singles_283.png</t>
  </si>
  <si>
    <t>Jail_Singles_284.png</t>
  </si>
  <si>
    <t>Jail_Singles_285.png</t>
  </si>
  <si>
    <t>Jail_Singles_286.png</t>
  </si>
  <si>
    <t>Jail_Singles_287.png</t>
  </si>
  <si>
    <t>Jail_Singles_288.png</t>
  </si>
  <si>
    <t>Jail_Singles_289.png</t>
  </si>
  <si>
    <t>Jail_Singles_290.png</t>
  </si>
  <si>
    <t>Jail_Singles_291.png</t>
  </si>
  <si>
    <t>Jail_Singles_292.png</t>
  </si>
  <si>
    <t>Jail_Singles_293.png</t>
  </si>
  <si>
    <t>Jail_Singles_294.png</t>
  </si>
  <si>
    <t>Jail_Singles_295.png</t>
  </si>
  <si>
    <t>Jail_Singles_296.png</t>
  </si>
  <si>
    <t>Jail_Singles_297.png</t>
  </si>
  <si>
    <t>Jail_Singles_298.png</t>
  </si>
  <si>
    <t>Jail_Singles_299.png</t>
  </si>
  <si>
    <t>Jail_Singles_300.png</t>
  </si>
  <si>
    <t>Jail_Singles_301.png</t>
  </si>
  <si>
    <t>Jail_Singles_302.png</t>
  </si>
  <si>
    <t>Jail_Singles_303.png</t>
  </si>
  <si>
    <t>Jail_Singles_304.png</t>
  </si>
  <si>
    <t>Jail_Singles_305.png</t>
  </si>
  <si>
    <t>Jail_Singles_306.png</t>
  </si>
  <si>
    <t>Jail_Singles_307.png</t>
  </si>
  <si>
    <t>Jail_Singles_308.png</t>
  </si>
  <si>
    <t>Jail_Singles_309.png</t>
  </si>
  <si>
    <t>Jail_Singles_310.png</t>
  </si>
  <si>
    <t>Jail_Singles_311.png</t>
  </si>
  <si>
    <t>Jail_Singles_312.png</t>
  </si>
  <si>
    <t>Jail_Singles_313.png</t>
  </si>
  <si>
    <t>Jail_Singles_314.png</t>
  </si>
  <si>
    <t>Jail_Singles_315.png</t>
  </si>
  <si>
    <t>Jail_Singles_316.png</t>
  </si>
  <si>
    <t>Jail_Singles_317.png</t>
  </si>
  <si>
    <t>Jail_Singles_318.png</t>
  </si>
  <si>
    <t>Jail_Singles_319.png</t>
  </si>
  <si>
    <t>Jail_Singles_320.png</t>
  </si>
  <si>
    <t>Jail_Singles_321.png</t>
  </si>
  <si>
    <t>Jail_Singles_322.png</t>
  </si>
  <si>
    <t>Jail_Singles_323.png</t>
  </si>
  <si>
    <t>Jail_Singles_324.png</t>
  </si>
  <si>
    <t>Jail_Singles_325.png</t>
  </si>
  <si>
    <t>Jail_Singles_326.png</t>
  </si>
  <si>
    <t>Jail_Singles_327.png</t>
  </si>
  <si>
    <t>Jail_Singles_328.png</t>
  </si>
  <si>
    <t>Jail_Singles_329.png</t>
  </si>
  <si>
    <t>Jail_Singles_330.png</t>
  </si>
  <si>
    <t>Jail_Singles_331.png</t>
  </si>
  <si>
    <t>Jail_Singles_332.png</t>
  </si>
  <si>
    <t>Jail_Singles_333.png</t>
  </si>
  <si>
    <t>Jail_Singles_334.png</t>
  </si>
  <si>
    <t>Jail_Singles_335.png</t>
  </si>
  <si>
    <t>Jail_Singles_336.png</t>
  </si>
  <si>
    <t>Jail_Singles_337.png</t>
  </si>
  <si>
    <t>Jail_Singles_338.png</t>
  </si>
  <si>
    <t>Jail_Singles_339.png</t>
  </si>
  <si>
    <t>Jail_Singles_340.png</t>
  </si>
  <si>
    <t>Jail_Singles_341.png</t>
  </si>
  <si>
    <t>Jail_Singles_342.png</t>
  </si>
  <si>
    <t>Jail_Singles_343.png</t>
  </si>
  <si>
    <t>Jail_Singles_344.png</t>
  </si>
  <si>
    <t>Hospital_Singles_1.png</t>
  </si>
  <si>
    <t>Hospital_Singles_2.png</t>
  </si>
  <si>
    <t>Hospital_Singles_3.png</t>
  </si>
  <si>
    <t>Hospital_Singles_4.png</t>
  </si>
  <si>
    <t>Hospital_Singles_5.png</t>
  </si>
  <si>
    <t>Hospital_Singles_6.png</t>
  </si>
  <si>
    <t>Hospital_Singles_7.png</t>
  </si>
  <si>
    <t>Hospital_Singles_8.png</t>
  </si>
  <si>
    <t>Hospital_Singles_9.png</t>
  </si>
  <si>
    <t>Hospital_Singles_10.png</t>
  </si>
  <si>
    <t>Hospital_Singles_11.png</t>
  </si>
  <si>
    <t>Hospital_Singles_12.png</t>
  </si>
  <si>
    <t>Hospital_Singles_13.png</t>
  </si>
  <si>
    <t>Hospital_Singles_14.png</t>
  </si>
  <si>
    <t>Hospital_Singles_15.png</t>
  </si>
  <si>
    <t>Hospital_Singles_16.png</t>
  </si>
  <si>
    <t>Hospital_Singles_17.png</t>
  </si>
  <si>
    <t>Hospital_Singles_18.png</t>
  </si>
  <si>
    <t>Hospital_Singles_19.png</t>
  </si>
  <si>
    <t>Hospital_Singles_20.png</t>
  </si>
  <si>
    <t>Hospital_Singles_21.png</t>
  </si>
  <si>
    <t>Hospital_Singles_22.png</t>
  </si>
  <si>
    <t>Hospital_Singles_24.png</t>
  </si>
  <si>
    <t>Hospital_Singles_25.png</t>
  </si>
  <si>
    <t>Hospital_Singles_26.png</t>
  </si>
  <si>
    <t>Hospital_Singles_27.png</t>
  </si>
  <si>
    <t>Hospital_Singles_28.png</t>
  </si>
  <si>
    <t>Hospital_Singles_29.png</t>
  </si>
  <si>
    <t>Hospital_Singles_30.png</t>
  </si>
  <si>
    <t>Hospital_Singles_31.png</t>
  </si>
  <si>
    <t>Hospital_Singles_32.png</t>
  </si>
  <si>
    <t>Hospital_Singles_33.png</t>
  </si>
  <si>
    <t>Hospital_Singles_34.png</t>
  </si>
  <si>
    <t>Hospital_Singles_35.png</t>
  </si>
  <si>
    <t>Hospital_Singles_36.png</t>
  </si>
  <si>
    <t>Hospital_Singles_37.png</t>
  </si>
  <si>
    <t>Hospital_Singles_38.png</t>
  </si>
  <si>
    <t>Hospital_Singles_39.png</t>
  </si>
  <si>
    <t>Hospital_Singles_40.png</t>
  </si>
  <si>
    <t>Hospital_Singles_41.png</t>
  </si>
  <si>
    <t>Hospital_Singles_42.png</t>
  </si>
  <si>
    <t>Hospital_Singles_43.png</t>
  </si>
  <si>
    <t>Hospital_Singles_44.png</t>
  </si>
  <si>
    <t>Hospital_Singles_45.png</t>
  </si>
  <si>
    <t>Hospital_Singles_46.png</t>
  </si>
  <si>
    <t>Hospital_Singles_47.png</t>
  </si>
  <si>
    <t>Hospital_Singles_48.png</t>
  </si>
  <si>
    <t>Hospital_Singles_49.png</t>
  </si>
  <si>
    <t>Hospital_Singles_50.png</t>
  </si>
  <si>
    <t>Hospital_Singles_51.png</t>
  </si>
  <si>
    <t>Hospital_Singles_52.png</t>
  </si>
  <si>
    <t>Hospital_Singles_53.png</t>
  </si>
  <si>
    <t>Hospital_Singles_54.png</t>
  </si>
  <si>
    <t>Hospital_Singles_55.png</t>
  </si>
  <si>
    <t>Hospital_Singles_56.png</t>
  </si>
  <si>
    <t>Hospital_Singles_57.png</t>
  </si>
  <si>
    <t>Hospital_Singles_58.png</t>
  </si>
  <si>
    <t>Hospital_Singles_59.png</t>
  </si>
  <si>
    <t>Hospital_Singles_60.png</t>
  </si>
  <si>
    <t>Hospital_Singles_61.png</t>
  </si>
  <si>
    <t>Hospital_Singles_62.png</t>
  </si>
  <si>
    <t>Hospital_Singles_63.png</t>
  </si>
  <si>
    <t>Hospital_Singles_64.png</t>
  </si>
  <si>
    <t>Hospital_Singles_65.png</t>
  </si>
  <si>
    <t>Hospital_Singles_66.png</t>
  </si>
  <si>
    <t>Hospital_Singles_67.png</t>
  </si>
  <si>
    <t>Hospital_Singles_68.png</t>
  </si>
  <si>
    <t>Hospital_Singles_72.png</t>
  </si>
  <si>
    <t>Hospital_Singles_73.png</t>
  </si>
  <si>
    <t>Hospital_Singles_74.png</t>
  </si>
  <si>
    <t>Hospital_Singles_75.png</t>
  </si>
  <si>
    <t>Hospital_Singles_76.png</t>
  </si>
  <si>
    <t>Hospital_Singles_77.png</t>
  </si>
  <si>
    <t>Hospital_Singles_78.png</t>
  </si>
  <si>
    <t>Hospital_Singles_79.png</t>
  </si>
  <si>
    <t>Hospital_Singles_80.png</t>
  </si>
  <si>
    <t>Hospital_Singles_81.png</t>
  </si>
  <si>
    <t>Hospital_Singles_82.png</t>
  </si>
  <si>
    <t>Hospital_Singles_83.png</t>
  </si>
  <si>
    <t>Hospital_Singles_84.png</t>
  </si>
  <si>
    <t>Hospital_Singles_85.png</t>
  </si>
  <si>
    <t>Hospital_Singles_86.png</t>
  </si>
  <si>
    <t>Hospital_Singles_87.png</t>
  </si>
  <si>
    <t>Hospital_Singles_88.png</t>
  </si>
  <si>
    <t>Hospital_Singles_89.png</t>
  </si>
  <si>
    <t>Hospital_Singles_90.png</t>
  </si>
  <si>
    <t>Hospital_Singles_91.png</t>
  </si>
  <si>
    <t>Hospital_Singles_92.png</t>
  </si>
  <si>
    <t>Hospital_Singles_93.png</t>
  </si>
  <si>
    <t>Hospital_Singles_94.png</t>
  </si>
  <si>
    <t>Hospital_Singles_95.png</t>
  </si>
  <si>
    <t>Hospital_Singles_96.png</t>
  </si>
  <si>
    <t>Hospital_Singles_97.png</t>
  </si>
  <si>
    <t>Hospital_Singles_98.png</t>
  </si>
  <si>
    <t>Hospital_Singles_99.png</t>
  </si>
  <si>
    <t>Hospital_Singles_100.png</t>
  </si>
  <si>
    <t>Hospital_Singles_101.png</t>
  </si>
  <si>
    <t>Hospital_Singles_102.png</t>
  </si>
  <si>
    <t>Hospital_Singles_103.png</t>
  </si>
  <si>
    <t>Hospital_Singles_104.png</t>
  </si>
  <si>
    <t>Hospital_Singles_105.png</t>
  </si>
  <si>
    <t>Hospital_Singles_106.png</t>
  </si>
  <si>
    <t>Hospital_Singles_107.png</t>
  </si>
  <si>
    <t>Hospital_Singles_108.png</t>
  </si>
  <si>
    <t>Hospital_Singles_109.png</t>
  </si>
  <si>
    <t>Hospital_Singles_110.png</t>
  </si>
  <si>
    <t>Hospital_Singles_111.png</t>
  </si>
  <si>
    <t>Hospital_Singles_112.png</t>
  </si>
  <si>
    <t>Hospital_Singles_113.png</t>
  </si>
  <si>
    <t>Hospital_Singles_114.png</t>
  </si>
  <si>
    <t>Hospital_Singles_115.png</t>
  </si>
  <si>
    <t>Hospital_Singles_116.png</t>
  </si>
  <si>
    <t>Hospital_Singles_117.png</t>
  </si>
  <si>
    <t>Hospital_Singles_118.png</t>
  </si>
  <si>
    <t>Hospital_Singles_119.png</t>
  </si>
  <si>
    <t>Hospital_Singles_120.png</t>
  </si>
  <si>
    <t>Hospital_Singles_121.png</t>
  </si>
  <si>
    <t>Hospital_Singles_122.png</t>
  </si>
  <si>
    <t>Hospital_Singles_123.png</t>
  </si>
  <si>
    <t>Hospital_Singles_124.png</t>
  </si>
  <si>
    <t>Hospital_Singles_125.png</t>
  </si>
  <si>
    <t>Hospital_Singles_126.png</t>
  </si>
  <si>
    <t>Hospital_Singles_127.png</t>
  </si>
  <si>
    <t>Hospital_Singles_128.png</t>
  </si>
  <si>
    <t>Hospital_Singles_129.png</t>
  </si>
  <si>
    <t>Hospital_Singles_130.png</t>
  </si>
  <si>
    <t>Hospital_Singles_131.png</t>
  </si>
  <si>
    <t>Hospital_Singles_132.png</t>
  </si>
  <si>
    <t>Hospital_Singles_133.png</t>
  </si>
  <si>
    <t>Hospital_Singles_134.png</t>
  </si>
  <si>
    <t>Hospital_Singles_135.png</t>
  </si>
  <si>
    <t>Hospital_Singles_136.png</t>
  </si>
  <si>
    <t>Hospital_Singles_137.png</t>
  </si>
  <si>
    <t>Hospital_Singles_138.png</t>
  </si>
  <si>
    <t>Hospital_Singles_139.png</t>
  </si>
  <si>
    <t>Hospital_Singles_140.png</t>
  </si>
  <si>
    <t>Hospital_Singles_141.png</t>
  </si>
  <si>
    <t>Hospital_Singles_142.png</t>
  </si>
  <si>
    <t>Hospital_Singles_143.png</t>
  </si>
  <si>
    <t>Hospital_Singles_144.png</t>
  </si>
  <si>
    <t>Hospital_Singles_145.png</t>
  </si>
  <si>
    <t>Hospital_Singles_146.png</t>
  </si>
  <si>
    <t>Hospital_Singles_147.png</t>
  </si>
  <si>
    <t>Hospital_Singles_148.png</t>
  </si>
  <si>
    <t>Hospital_Singles_149.png</t>
  </si>
  <si>
    <t>Hospital_Singles_150.png</t>
  </si>
  <si>
    <t>Hospital_Singles_151.png</t>
  </si>
  <si>
    <t>Hospital_Singles_152.png</t>
  </si>
  <si>
    <t>Hospital_Singles_153.png</t>
  </si>
  <si>
    <t>Hospital_Singles_154.png</t>
  </si>
  <si>
    <t>Hospital_Singles_155.png</t>
  </si>
  <si>
    <t>Hospital_Singles_156.png</t>
  </si>
  <si>
    <t>Hospital_Singles_157.png</t>
  </si>
  <si>
    <t>Hospital_Singles_158.png</t>
  </si>
  <si>
    <t>Hospital_Singles_159.png</t>
  </si>
  <si>
    <t>Hospital_Singles_160.png</t>
  </si>
  <si>
    <t>Hospital_Singles_161.png</t>
  </si>
  <si>
    <t>Hospital_Singles_162.png</t>
  </si>
  <si>
    <t>Hospital_Singles_163.png</t>
  </si>
  <si>
    <t>Hospital_Singles_164.png</t>
  </si>
  <si>
    <t>Hospital_Singles_165.png</t>
  </si>
  <si>
    <t>Hospital_Singles_166.png</t>
  </si>
  <si>
    <t>Hospital_Singles_167.png</t>
  </si>
  <si>
    <t>Hospital_Singles_168.png</t>
  </si>
  <si>
    <t>Hospital_Singles_169.png</t>
  </si>
  <si>
    <t>Hospital_Singles_170.png</t>
  </si>
  <si>
    <t>Hospital_Singles_171.png</t>
  </si>
  <si>
    <t>Hospital_Singles_172.png</t>
  </si>
  <si>
    <t>Hospital_Singles_173.png</t>
  </si>
  <si>
    <t>Hospital_Singles_174.png</t>
  </si>
  <si>
    <t>Hospital_Singles_175.png</t>
  </si>
  <si>
    <t>Hospital_Singles_176.png</t>
  </si>
  <si>
    <t>Hospital_Singles_177.png</t>
  </si>
  <si>
    <t>Hospital_Singles_178.png</t>
  </si>
  <si>
    <t>Hospital_Singles_179.png</t>
  </si>
  <si>
    <t>Hospital_Singles_180.png</t>
  </si>
  <si>
    <t>Hospital_Singles_181.png</t>
  </si>
  <si>
    <t>Hospital_Singles_182.png</t>
  </si>
  <si>
    <t>Hospital_Singles_183.png</t>
  </si>
  <si>
    <t>Hospital_Singles_184.png</t>
  </si>
  <si>
    <t>Hospital_Singles_185.png</t>
  </si>
  <si>
    <t>Hospital_Singles_186.png</t>
  </si>
  <si>
    <t>Hospital_Singles_187.png</t>
  </si>
  <si>
    <t>Hospital_Singles_188.png</t>
  </si>
  <si>
    <t>Hospital_Singles_189.png</t>
  </si>
  <si>
    <t>Hospital_Singles_190.png</t>
  </si>
  <si>
    <t>Hospital_Singles_191.png</t>
  </si>
  <si>
    <t>Hospital_Singles_192.png</t>
  </si>
  <si>
    <t>Hospital_Singles_193.png</t>
  </si>
  <si>
    <t>Hospital_Singles_194.png</t>
  </si>
  <si>
    <t>Hospital_Singles_195.png</t>
  </si>
  <si>
    <t>Hospital_Singles_196.png</t>
  </si>
  <si>
    <t>Hospital_Singles_197.png</t>
  </si>
  <si>
    <t>Hospital_Singles_198.png</t>
  </si>
  <si>
    <t>Hospital_Singles_199.png</t>
  </si>
  <si>
    <t>Hospital_Singles_200.png</t>
  </si>
  <si>
    <t>Hospital_Singles_201.png</t>
  </si>
  <si>
    <t>Hospital_Singles_202.png</t>
  </si>
  <si>
    <t>Hospital_Singles_203.png</t>
  </si>
  <si>
    <t>Hospital_Singles_204.png</t>
  </si>
  <si>
    <t>Hospital_Singles_205.png</t>
  </si>
  <si>
    <t>Hospital_Singles_206.png</t>
  </si>
  <si>
    <t>Hospital_Singles_207.png</t>
  </si>
  <si>
    <t>Hospital_Singles_208.png</t>
  </si>
  <si>
    <t>Hospital_Singles_209.png</t>
  </si>
  <si>
    <t>Hospital_Singles_210.png</t>
  </si>
  <si>
    <t>Hospital_Singles_211.png</t>
  </si>
  <si>
    <t>Hospital_Singles_212.png</t>
  </si>
  <si>
    <t>Hospital_Singles_213.png</t>
  </si>
  <si>
    <t>Hospital_Singles_214.png</t>
  </si>
  <si>
    <t>Hospital_Singles_215.png</t>
  </si>
  <si>
    <t>Hospital_Singles_216.png</t>
  </si>
  <si>
    <t>Hospital_Singles_217.png</t>
  </si>
  <si>
    <t>Hospital_Singles_218.png</t>
  </si>
  <si>
    <t>Hospital_Singles_219.png</t>
  </si>
  <si>
    <t>Hospital_Singles_220.png</t>
  </si>
  <si>
    <t>Hospital_Singles_221.png</t>
  </si>
  <si>
    <t>Hospital_Singles_222.png</t>
  </si>
  <si>
    <t>Hospital_Singles_223.png</t>
  </si>
  <si>
    <t>Hospital_Singles_224.png</t>
  </si>
  <si>
    <t>Hospital_Singles_225.png</t>
  </si>
  <si>
    <t>Hospital_Singles_226.png</t>
  </si>
  <si>
    <t>Hospital_Singles_227.png</t>
  </si>
  <si>
    <t>Hospital_Singles_228.png</t>
  </si>
  <si>
    <t>Hospital_Singles_229.png</t>
  </si>
  <si>
    <t>Hospital_Singles_230.png</t>
  </si>
  <si>
    <t>Hospital_Singles_231.png</t>
  </si>
  <si>
    <t>Hospital_Singles_232.png</t>
  </si>
  <si>
    <t>Hospital_Singles_233.png</t>
  </si>
  <si>
    <t>Hospital_Singles_234.png</t>
  </si>
  <si>
    <t>Hospital_Singles_235.png</t>
  </si>
  <si>
    <t>Hospital_Singles_236.png</t>
  </si>
  <si>
    <t>Hospital_Singles_237.png</t>
  </si>
  <si>
    <t>Hospital_Singles_238.png</t>
  </si>
  <si>
    <t>Hospital_Singles_239.png</t>
  </si>
  <si>
    <t>Hospital_Singles_240.png</t>
  </si>
  <si>
    <t>Hospital_Singles_241.png</t>
  </si>
  <si>
    <t>Hospital_Singles_242.png</t>
  </si>
  <si>
    <t>Hospital_Singles_243.png</t>
  </si>
  <si>
    <t>Hospital_Singles_244.png</t>
  </si>
  <si>
    <t>Hospital_Singles_245.png</t>
  </si>
  <si>
    <t>Hospital_Singles_246.png</t>
  </si>
  <si>
    <t>Hospital_Singles_247.png</t>
  </si>
  <si>
    <t>Hospital_Singles_248.png</t>
  </si>
  <si>
    <t>Hospital_Singles_249.png</t>
  </si>
  <si>
    <t>Hospital_Singles_250.png</t>
  </si>
  <si>
    <t>Hospital_Singles_251.png</t>
  </si>
  <si>
    <t>Hospital_Singles_252.png</t>
  </si>
  <si>
    <t>Hospital_Singles_253.png</t>
  </si>
  <si>
    <t>Hospital_Singles_254.png</t>
  </si>
  <si>
    <t>Hospital_Singles_255.png</t>
  </si>
  <si>
    <t>Hospital_Singles_256.png</t>
  </si>
  <si>
    <t>Hospital_Singles_257.png</t>
  </si>
  <si>
    <t>Hospital_Singles_258.png</t>
  </si>
  <si>
    <t>Hospital_Singles_259.png</t>
  </si>
  <si>
    <t>Hospital_Singles_260.png</t>
  </si>
  <si>
    <t>Hospital_Singles_261.png</t>
  </si>
  <si>
    <t>Hospital_Singles_262.png</t>
  </si>
  <si>
    <t>Hospital_Singles_263.png</t>
  </si>
  <si>
    <t>Hospital_Singles_264.png</t>
  </si>
  <si>
    <t>Hospital_Singles_265.png</t>
  </si>
  <si>
    <t>Hospital_Singles_266.png</t>
  </si>
  <si>
    <t>Hospital_Singles_267.png</t>
  </si>
  <si>
    <t>Hospital_Singles_268.png</t>
  </si>
  <si>
    <t>Hospital_Singles_269.png</t>
  </si>
  <si>
    <t>Hospital_Singles_270.png</t>
  </si>
  <si>
    <t>Hospital_Singles_271.png</t>
  </si>
  <si>
    <t>Hospital_Singles_272.png</t>
  </si>
  <si>
    <t>Hospital_Singles_273.png</t>
  </si>
  <si>
    <t>Hospital_Singles_274.png</t>
  </si>
  <si>
    <t>Hospital_Singles_275.png</t>
  </si>
  <si>
    <t>Hospital_Singles_276.png</t>
  </si>
  <si>
    <t>Hospital_Singles_277.png</t>
  </si>
  <si>
    <t>Hospital_Singles_278.png</t>
  </si>
  <si>
    <t>Hospital_Singles_279.png</t>
  </si>
  <si>
    <t>Hospital_Singles_280.png</t>
  </si>
  <si>
    <t>Hospital_Singles_281.png</t>
  </si>
  <si>
    <t>Hospital_Singles_282.png</t>
  </si>
  <si>
    <t>Hospital_Singles_283.png</t>
  </si>
  <si>
    <t>Hospital_Singles_284.png</t>
  </si>
  <si>
    <t>Hospital_Singles_285.png</t>
  </si>
  <si>
    <t>Hospital_Singles_286.png</t>
  </si>
  <si>
    <t>Hospital_Singles_287.png</t>
  </si>
  <si>
    <t>Hospital_Singles_288.png</t>
  </si>
  <si>
    <t>Hospital_Singles_289.png</t>
  </si>
  <si>
    <t>Hospital_Singles_290.png</t>
  </si>
  <si>
    <t>Hospital_Singles_291.png</t>
  </si>
  <si>
    <t>Hospital_Singles_292.png</t>
  </si>
  <si>
    <t>Hospital_Singles_293.png</t>
  </si>
  <si>
    <t>Hospital_Singles_294.png</t>
  </si>
  <si>
    <t>Hospital_Singles_295.png</t>
  </si>
  <si>
    <t>Hospital_Singles_296.png</t>
  </si>
  <si>
    <t>Hospital_Singles_297.png</t>
  </si>
  <si>
    <t>Hospital_Singles_298.png</t>
  </si>
  <si>
    <t>Hospital_Singles_299.png</t>
  </si>
  <si>
    <t>Hospital_Singles_300.png</t>
  </si>
  <si>
    <t>Hospital_Singles_301.png</t>
  </si>
  <si>
    <t>Hospital_Singles_302.png</t>
  </si>
  <si>
    <t>Hospital_Singles_303.png</t>
  </si>
  <si>
    <t>Hospital_Singles_304.png</t>
  </si>
  <si>
    <t>Hospital_Singles_305.png</t>
  </si>
  <si>
    <t>Hospital_Singles_306.png</t>
  </si>
  <si>
    <t>Hospital_Singles_307.png</t>
  </si>
  <si>
    <t>Hospital_Singles_308.png</t>
  </si>
  <si>
    <t>Hospital_Singles_309.png</t>
  </si>
  <si>
    <t>Hospital_Singles_310.png</t>
  </si>
  <si>
    <t>Hospital_Singles_311.png</t>
  </si>
  <si>
    <t>Hospital_Singles_312.png</t>
  </si>
  <si>
    <t>Hospital_Singles_313.png</t>
  </si>
  <si>
    <t>Hospital_Singles_314.png</t>
  </si>
  <si>
    <t>Hospital_Singles_315.png</t>
  </si>
  <si>
    <t>Hospital_Singles_316.png</t>
  </si>
  <si>
    <t>Hospital_Singles_317.png</t>
  </si>
  <si>
    <t>Hospital_Singles_318.png</t>
  </si>
  <si>
    <t>Hospital_Singles_319.png</t>
  </si>
  <si>
    <t>Hospital_Singles_320.png</t>
  </si>
  <si>
    <t>Hospital_Singles_321.png</t>
  </si>
  <si>
    <t>Hospital_Singles_322.png</t>
  </si>
  <si>
    <t>Hospital_Singles_323.png</t>
  </si>
  <si>
    <t>Hospital_Singles_324.png</t>
  </si>
  <si>
    <t>Hospital_Singles_325.png</t>
  </si>
  <si>
    <t>Hospital_Singles_326.png</t>
  </si>
  <si>
    <t>Hospital_Singles_327.png</t>
  </si>
  <si>
    <t>Hospital_Singles_328.png</t>
  </si>
  <si>
    <t>Hospital_Singles_329.png</t>
  </si>
  <si>
    <t>Hospital_Singles_330.png</t>
  </si>
  <si>
    <t>Hospital_Singles_331.png</t>
  </si>
  <si>
    <t>Hospital_Singles_332.png</t>
  </si>
  <si>
    <t>Hospital_Singles_333.png</t>
  </si>
  <si>
    <t>Hospital_Singles_334.png</t>
  </si>
  <si>
    <t>Hospital_Singles_335.png</t>
  </si>
  <si>
    <t>Hospital_Singles_336.png</t>
  </si>
  <si>
    <t>Hospital_Singles_337.png</t>
  </si>
  <si>
    <t>Hospital_Singles_338.png</t>
  </si>
  <si>
    <t>Hospital_Singles_339.png</t>
  </si>
  <si>
    <t>Hospital_Singles_340.png</t>
  </si>
  <si>
    <t>Hospital_Singles_341.png</t>
  </si>
  <si>
    <t>Hospital_Singles_342.png</t>
  </si>
  <si>
    <t>Hospital_Singles_343.png</t>
  </si>
  <si>
    <t>Hospital_Singles_344.png</t>
  </si>
  <si>
    <t>Hospital_Singles_345.png</t>
  </si>
  <si>
    <t>Hospital_Singles_346.png</t>
  </si>
  <si>
    <t>Hospital_Singles_347.png</t>
  </si>
  <si>
    <t>Hospital_Singles_348.png</t>
  </si>
  <si>
    <t>Hospital_Singles_349.png</t>
  </si>
  <si>
    <t>Hospital_Singles_350.png</t>
  </si>
  <si>
    <t>Hospital_Singles_351.png</t>
  </si>
  <si>
    <t>Hospital_Singles_352.png</t>
  </si>
  <si>
    <t>Hospital_Singles_353.png</t>
  </si>
  <si>
    <t>Hospital_Singles_354.png</t>
  </si>
  <si>
    <t>Hospital_Singles_355.png</t>
  </si>
  <si>
    <t>Hospital_Singles_356.png</t>
  </si>
  <si>
    <t>Hospital_Singles_357.png</t>
  </si>
  <si>
    <t>Hospital_Singles_358.png</t>
  </si>
  <si>
    <t>Hospital_Singles_359.png</t>
  </si>
  <si>
    <t>Hospital_Singles_360.png</t>
  </si>
  <si>
    <t>Hospital_Singles_361.png</t>
  </si>
  <si>
    <t>Hospital_Singles_362.png</t>
  </si>
  <si>
    <t>Hospital_Singles_363.png</t>
  </si>
  <si>
    <t>Hospital_Singles_364.png</t>
  </si>
  <si>
    <t>Hospital_Singles_365.png</t>
  </si>
  <si>
    <t>Hospital_Singles_366.png</t>
  </si>
  <si>
    <t>Hospital_Singles_367.png</t>
  </si>
  <si>
    <t>Hospital_Singles_368.png</t>
  </si>
  <si>
    <t>Hospital_Singles_369.png</t>
  </si>
  <si>
    <t>Hospital_Singles_370.png</t>
  </si>
  <si>
    <t>Hospital_Singles_371.png</t>
  </si>
  <si>
    <t>Hospital_Singles_372.png</t>
  </si>
  <si>
    <t>Hospital_Singles_373.png</t>
  </si>
  <si>
    <t>Hospital_Singles_374.png</t>
  </si>
  <si>
    <t>Hospital_Singles_375.png</t>
  </si>
  <si>
    <t>Hospital_Singles_376.png</t>
  </si>
  <si>
    <t>Hospital_Singles_377.png</t>
  </si>
  <si>
    <t>Hospital_Singles_378.png</t>
  </si>
  <si>
    <t>Hospital_Singles_379.png</t>
  </si>
  <si>
    <t>Hospital_Singles_380.png</t>
  </si>
  <si>
    <t>Hospital_Singles_381.png</t>
  </si>
  <si>
    <t>Hospital_Singles_382.png</t>
  </si>
  <si>
    <t>Hospital_Singles_383.png</t>
  </si>
  <si>
    <t>Hospital_Singles_384.png</t>
  </si>
  <si>
    <t>Hospital_Singles_385.png</t>
  </si>
  <si>
    <t>Hospital_Singles_386.png</t>
  </si>
  <si>
    <t>Hospital_Singles_387.png</t>
  </si>
  <si>
    <t>Hospital_Singles_388.png</t>
  </si>
  <si>
    <t>Hospital_Singles_389.png</t>
  </si>
  <si>
    <t>Hospital_Singles_390.png</t>
  </si>
  <si>
    <t>Hospital_Singles_391.png</t>
  </si>
  <si>
    <t>Hospital_Singles_392.png</t>
  </si>
  <si>
    <t>Hospital_Singles_393.png</t>
  </si>
  <si>
    <t>Hospital_Singles_394.png</t>
  </si>
  <si>
    <t>Hospital_Singles_395.png</t>
  </si>
  <si>
    <t>Hospital_Singles_396.png</t>
  </si>
  <si>
    <t>Hospital_Singles_397.png</t>
  </si>
  <si>
    <t>Hospital_Singles_398.png</t>
  </si>
  <si>
    <t>Hospital_Singles_399.png</t>
  </si>
  <si>
    <t>Hospital_Singles_400.png</t>
  </si>
  <si>
    <t>Hospital_Singles_401.png</t>
  </si>
  <si>
    <t>Hospital_Singles_402.png</t>
  </si>
  <si>
    <t>Hospital_Singles_403.png</t>
  </si>
  <si>
    <t>Hospital_Singles_404.png</t>
  </si>
  <si>
    <t>Hospital_Singles_405.png</t>
  </si>
  <si>
    <t>Hospital_Singles_406.png</t>
  </si>
  <si>
    <t>Hospital_Singles_407.png</t>
  </si>
  <si>
    <t>Hospital_Singles_408.png</t>
  </si>
  <si>
    <t>Hospital_Singles_409.png</t>
  </si>
  <si>
    <t>Hospital_Singles_410.png</t>
  </si>
  <si>
    <t>Hospital_Singles_411.png</t>
  </si>
  <si>
    <t>Hospital_Singles_412.png</t>
  </si>
  <si>
    <t>Hospital_Singles_413.png</t>
  </si>
  <si>
    <t>Hospital_Singles_414.png</t>
  </si>
  <si>
    <t>Hospital_Singles_415.png</t>
  </si>
  <si>
    <t>Hospital_Singles_416.png</t>
  </si>
  <si>
    <t>Hospital_Singles_417.png</t>
  </si>
  <si>
    <t>Hospital_Singles_418.png</t>
  </si>
  <si>
    <t>Hospital_Singles_419.png</t>
  </si>
  <si>
    <t>Hospital_Singles_420.png</t>
  </si>
  <si>
    <t>Hospital_Singles_421.png</t>
  </si>
  <si>
    <t>Hospital_Singles_422.png</t>
  </si>
  <si>
    <t>Hospital_Singles_423.png</t>
  </si>
  <si>
    <t>Hospital_Singles_424.png</t>
  </si>
  <si>
    <t>Hospital_Singles_425.png</t>
  </si>
  <si>
    <t>Hospital_Singles_426.png</t>
  </si>
  <si>
    <t>Hospital_Singles_427.png</t>
  </si>
  <si>
    <t>Hospital_Singles_428.png</t>
  </si>
  <si>
    <t>Hospital_Singles_429.png</t>
  </si>
  <si>
    <t>Hospital_Singles_430.png</t>
  </si>
  <si>
    <t>Hospital_Singles_431.png</t>
  </si>
  <si>
    <t>Hospital_Singles_432.png</t>
  </si>
  <si>
    <t>Hospital_Singles_433.png</t>
  </si>
  <si>
    <t>Hospital_Singles_434.png</t>
  </si>
  <si>
    <t>Hospital_Singles_435.png</t>
  </si>
  <si>
    <t>Hospital_Singles_436.png</t>
  </si>
  <si>
    <t>Hospital_Singles_437.png</t>
  </si>
  <si>
    <t>Hospital_Singles_438.png</t>
  </si>
  <si>
    <t>Hospital_Singles_439.png</t>
  </si>
  <si>
    <t>Hospital_Singles_440.png</t>
  </si>
  <si>
    <t>Hospital_Singles_441.png</t>
  </si>
  <si>
    <t>Hospital_Singles_442.png</t>
  </si>
  <si>
    <t>Hospital_Singles_443.png</t>
  </si>
  <si>
    <t>Hospital_Singles_444.png</t>
  </si>
  <si>
    <t>Hospital_Singles_445.png</t>
  </si>
  <si>
    <t>Hospital_Singles_446.png</t>
  </si>
  <si>
    <t>Hospital_Singles_447.png</t>
  </si>
  <si>
    <t>Hospital_Singles_448.png</t>
  </si>
  <si>
    <t>Hospital_Singles_449.png</t>
  </si>
  <si>
    <t>Hospital_Singles_450.png</t>
  </si>
  <si>
    <t>Hospital_Singles_451.png</t>
  </si>
  <si>
    <t>Hospital_Singles_452.png</t>
  </si>
  <si>
    <t>Hospital_Singles_453.png</t>
  </si>
  <si>
    <t>Hospital_Singles_454.png</t>
  </si>
  <si>
    <t>Hospital_Singles_455.png</t>
  </si>
  <si>
    <t>Hospital_Singles_456.png</t>
  </si>
  <si>
    <t>Hospital_Singles_457.png</t>
  </si>
  <si>
    <t>Hospital_Singles_458.png</t>
  </si>
  <si>
    <t>Hospital_Singles_459.png</t>
  </si>
  <si>
    <t>Hospital_Singles_460.png</t>
  </si>
  <si>
    <t>Hospital_Singles_461.png</t>
  </si>
  <si>
    <t>Hospital_Singles_462.png</t>
  </si>
  <si>
    <t>Hospital_Singles_463.png</t>
  </si>
  <si>
    <t>Hospital_Singles_464.png</t>
  </si>
  <si>
    <t>Hospital_Singles_465.png</t>
  </si>
  <si>
    <t>Hospital_Singles_466.png</t>
  </si>
  <si>
    <t>Hospital_Singles_467.png</t>
  </si>
  <si>
    <t>Hospital_Singles_468.png</t>
  </si>
  <si>
    <t>Hospital_Singles_469.png</t>
  </si>
  <si>
    <t>Hospital_Singles_470.png</t>
  </si>
  <si>
    <t>Hospital_Singles_471.png</t>
  </si>
  <si>
    <t>Hospital_Singles_472.png</t>
  </si>
  <si>
    <t>Hospital_Singles_473.png</t>
  </si>
  <si>
    <t>Hospital_Singles_474.png</t>
  </si>
  <si>
    <t>Hospital_Singles_475.png</t>
  </si>
  <si>
    <t>Hospital_Singles_476.png</t>
  </si>
  <si>
    <t>Hospital_Singles_477.png</t>
  </si>
  <si>
    <t>Hospital_Singles_478.png</t>
  </si>
  <si>
    <t>Hospital_Singles_479.png</t>
  </si>
  <si>
    <t>Hospital_Singles_480.png</t>
  </si>
  <si>
    <t>Hospital_Singles_481.png</t>
  </si>
  <si>
    <t>Hospital_Singles_482.png</t>
  </si>
  <si>
    <t>Hospital_Singles_483.png</t>
  </si>
  <si>
    <t>Hospital_Singles_484.png</t>
  </si>
  <si>
    <t>Hospital_Singles_485.png</t>
  </si>
  <si>
    <t>Hospital_Singles_486.png</t>
  </si>
  <si>
    <t>Hospital_Singles_487.png</t>
  </si>
  <si>
    <t>Hospital_Singles_488.png</t>
  </si>
  <si>
    <t>Hospital_Singles_489.png</t>
  </si>
  <si>
    <t>Hospital_Singles_490.png</t>
  </si>
  <si>
    <t>Hospital_Singles_491.png</t>
  </si>
  <si>
    <t>Hospital_Singles_492.png</t>
  </si>
  <si>
    <t>Hospital_Singles_493.png</t>
  </si>
  <si>
    <t>Hospital_Singles_494.png</t>
  </si>
  <si>
    <t>Hospital_Singles_495.png</t>
  </si>
  <si>
    <t>Hospital_Singles_496.png</t>
  </si>
  <si>
    <t>Hospital_Singles_497.png</t>
  </si>
  <si>
    <t>Hospital_Singles_498.png</t>
  </si>
  <si>
    <t>Hospital_Singles_499.png</t>
  </si>
  <si>
    <t>Hospital_Singles_500.png</t>
  </si>
  <si>
    <t>Hospital_Singles_501.png</t>
  </si>
  <si>
    <t>Hospital_Singles_502.png</t>
  </si>
  <si>
    <t>Hospital_Singles_503.png</t>
  </si>
  <si>
    <t>Hospital_Singles_504.png</t>
  </si>
  <si>
    <t>Hospital_Singles_505.png</t>
  </si>
  <si>
    <t>Hospital_Singles_506.png</t>
  </si>
  <si>
    <t>Hospital_Singles_507.png</t>
  </si>
  <si>
    <t>Hospital_Singles_508.png</t>
  </si>
  <si>
    <t>Hospital_Singles_509.png</t>
  </si>
  <si>
    <t>Hospital_Singles_510.png</t>
  </si>
  <si>
    <t>Hospital_Singles_511.png</t>
  </si>
  <si>
    <t>Hospital_Singles_512.png</t>
  </si>
  <si>
    <t>Hospital_Singles_513.png</t>
  </si>
  <si>
    <t>Hospital_Singles_514.png</t>
  </si>
  <si>
    <t>Hospital_Singles_515.png</t>
  </si>
  <si>
    <t>Hospital_Singles_516.png</t>
  </si>
  <si>
    <t>Hospital_Singles_517.png</t>
  </si>
  <si>
    <t>Hospital_Singles_518.png</t>
  </si>
  <si>
    <t>Hospital_Singles_519.png</t>
  </si>
  <si>
    <t>Hospital_Singles_520.png</t>
  </si>
  <si>
    <t>Hospital_Singles_521.png</t>
  </si>
  <si>
    <t>Hospital_Singles_522.png</t>
  </si>
  <si>
    <t>Hospital_Singles_523.png</t>
  </si>
  <si>
    <t>Hospital_Singles_524.png</t>
  </si>
  <si>
    <t>Hospital_Singles_525.png</t>
  </si>
  <si>
    <t>Hospital_Singles_526.png</t>
  </si>
  <si>
    <t>Hospital_Singles_527.png</t>
  </si>
  <si>
    <t>Hospital_Singles_528.png</t>
  </si>
  <si>
    <t>Hospital_Singles_529.png</t>
  </si>
  <si>
    <t>Hospital_Singles_530.png</t>
  </si>
  <si>
    <t>Hospital_Singles_531.png</t>
  </si>
  <si>
    <t>Hospital_Singles_532.png</t>
  </si>
  <si>
    <t>Hospital_Singles_533.png</t>
  </si>
  <si>
    <t>Hospital_Singles_534.png</t>
  </si>
  <si>
    <t>Hospital_Singles_535.png</t>
  </si>
  <si>
    <t>Hospital_Singles_536.png</t>
  </si>
  <si>
    <t>Hospital_Singles_537.png</t>
  </si>
  <si>
    <t>Hospital_Singles_538.png</t>
  </si>
  <si>
    <t>Hospital_Singles_539.png</t>
  </si>
  <si>
    <t>Hospital_Singles_540.png</t>
  </si>
  <si>
    <t>Hospital_Singles_541.png</t>
  </si>
  <si>
    <t>Hospital_Singles_542.png</t>
  </si>
  <si>
    <t>Hospital_Singles_543.png</t>
  </si>
  <si>
    <t>Hospital_Singles_544.png</t>
  </si>
  <si>
    <t>Hospital_Singles_545.png</t>
  </si>
  <si>
    <t>Hospital_Singles_546.png</t>
  </si>
  <si>
    <t>Hospital_Singles_547.png</t>
  </si>
  <si>
    <t>Hospital_Singles_548.png</t>
  </si>
  <si>
    <t>Hospital_Singles_549.png</t>
  </si>
  <si>
    <t>Hospital_Singles_550.png</t>
  </si>
  <si>
    <t>Japanese_Interiors_Singles_1.png</t>
  </si>
  <si>
    <t>Japanese_Interiors_Singles_2.png</t>
  </si>
  <si>
    <t>Japanese_Interiors_Singles_3.png</t>
  </si>
  <si>
    <t>Japanese_Interiors_Singles_4.png</t>
  </si>
  <si>
    <t>Japanese_Interiors_Singles_5.png</t>
  </si>
  <si>
    <t>Japanese_Interiors_Singles_6.png</t>
  </si>
  <si>
    <t>Japanese_Interiors_Singles_7.png</t>
  </si>
  <si>
    <t>Japanese_Interiors_Singles_8.png</t>
  </si>
  <si>
    <t>Japanese_Interiors_Singles_9.png</t>
  </si>
  <si>
    <t>Japanese_Interiors_Singles_10.png</t>
  </si>
  <si>
    <t>Japanese_Interiors_Singles_11.png</t>
  </si>
  <si>
    <t>Japanese_Interiors_Singles_12.png</t>
  </si>
  <si>
    <t>Japanese_Interiors_Singles_13.png</t>
  </si>
  <si>
    <t>Japanese_Interiors_Singles_14.png</t>
  </si>
  <si>
    <t>Japanese_Interiors_Singles_15.png</t>
  </si>
  <si>
    <t>Japanese_Interiors_Singles_16.png</t>
  </si>
  <si>
    <t>Japanese_Interiors_Singles_17.png</t>
  </si>
  <si>
    <t>Japanese_Interiors_Singles_18.png</t>
  </si>
  <si>
    <t>Japanese_Interiors_Singles_19.png</t>
  </si>
  <si>
    <t>Japanese_Interiors_Singles_20.png</t>
  </si>
  <si>
    <t>Japanese_Interiors_Singles_21.png</t>
  </si>
  <si>
    <t>Japanese_Interiors_Singles_22.png</t>
  </si>
  <si>
    <t>Japanese_Interiors_Singles_23.png</t>
  </si>
  <si>
    <t>Japanese_Interiors_Singles_24.png</t>
  </si>
  <si>
    <t>Japanese_Interiors_Singles_25.png</t>
  </si>
  <si>
    <t>Japanese_Interiors_Singles_26.png</t>
  </si>
  <si>
    <t>Japanese_Interiors_Singles_27.png</t>
  </si>
  <si>
    <t>Japanese_Interiors_Singles_28.png</t>
  </si>
  <si>
    <t>Japanese_Interiors_Singles_29.png</t>
  </si>
  <si>
    <t>Japanese_Interiors_Singles_30.png</t>
  </si>
  <si>
    <t>Japanese_Interiors_Singles_31.png</t>
  </si>
  <si>
    <t>Japanese_Interiors_Singles_32.png</t>
  </si>
  <si>
    <t>Japanese_Interiors_Singles_33.png</t>
  </si>
  <si>
    <t>Japanese_Interiors_Singles_34.png</t>
  </si>
  <si>
    <t>Japanese_Interiors_Singles_35.png</t>
  </si>
  <si>
    <t>Japanese_Interiors_Singles_36.png</t>
  </si>
  <si>
    <t>Japanese_Interiors_Singles_37.png</t>
  </si>
  <si>
    <t>Japanese_Interiors_Singles_38.png</t>
  </si>
  <si>
    <t>Japanese_Interiors_Singles_39.png</t>
  </si>
  <si>
    <t>Japanese_Interiors_Singles_40.png</t>
  </si>
  <si>
    <t>Japanese_Interiors_Singles_41.png</t>
  </si>
  <si>
    <t>Japanese_Interiors_Singles_42.png</t>
  </si>
  <si>
    <t>Japanese_Interiors_Singles_43.png</t>
  </si>
  <si>
    <t>Japanese_Interiors_Singles_44.png</t>
  </si>
  <si>
    <t>Japanese_Interiors_Singles_45.png</t>
  </si>
  <si>
    <t>Japanese_Interiors_Singles_46.png</t>
  </si>
  <si>
    <t>Japanese_Interiors_Singles_47.png</t>
  </si>
  <si>
    <t>Japanese_Interiors_Singles_48.png</t>
  </si>
  <si>
    <t>Japanese_Interiors_Singles_49.png</t>
  </si>
  <si>
    <t>Japanese_Interiors_Singles_50.png</t>
  </si>
  <si>
    <t>Japanese_Interiors_Singles_51.png</t>
  </si>
  <si>
    <t>Japanese_Interiors_Singles_52.png</t>
  </si>
  <si>
    <t>Japanese_Interiors_Singles_53.png</t>
  </si>
  <si>
    <t>Japanese_Interiors_Singles_54.png</t>
  </si>
  <si>
    <t>Japanese_Interiors_Singles_55.png</t>
  </si>
  <si>
    <t>Japanese_Interiors_Singles_56.png</t>
  </si>
  <si>
    <t>Japanese_Interiors_Singles_57.png</t>
  </si>
  <si>
    <t>Japanese_Interiors_Singles_58.png</t>
  </si>
  <si>
    <t>Japanese_Interiors_Singles_59.png</t>
  </si>
  <si>
    <t>Japanese_Interiors_Singles_60.png</t>
  </si>
  <si>
    <t>Japanese_Interiors_Singles_61.png</t>
  </si>
  <si>
    <t>Japanese_Interiors_Singles_62.png</t>
  </si>
  <si>
    <t>Japanese_Interiors_Singles_63.png</t>
  </si>
  <si>
    <t>Japanese_Interiors_Singles_64.png</t>
  </si>
  <si>
    <t>Japanese_Interiors_Singles_65.png</t>
  </si>
  <si>
    <t>Japanese_Interiors_Singles_66.png</t>
  </si>
  <si>
    <t>Japanese_Interiors_Singles_67.png</t>
  </si>
  <si>
    <t>Japanese_Interiors_Singles_68.png</t>
  </si>
  <si>
    <t>Japanese_Interiors_Singles_69.png</t>
  </si>
  <si>
    <t>Japanese_Interiors_Singles_70.png</t>
  </si>
  <si>
    <t>Japanese_Interiors_Singles_71.png</t>
  </si>
  <si>
    <t>Japanese_Interiors_Singles_72.png</t>
  </si>
  <si>
    <t>Japanese_Interiors_Singles_73.png</t>
  </si>
  <si>
    <t>Japanese_Interiors_Singles_74.png</t>
  </si>
  <si>
    <t>Japanese_Interiors_Singles_75.png</t>
  </si>
  <si>
    <t>Japanese_Interiors_Singles_76.png</t>
  </si>
  <si>
    <t>Japanese_Interiors_Singles_77.png</t>
  </si>
  <si>
    <t>Japanese_Interiors_Singles_78.png</t>
  </si>
  <si>
    <t>Japanese_Interiors_Singles_79.png</t>
  </si>
  <si>
    <t>Japanese_Interiors_Singles_80.png</t>
  </si>
  <si>
    <t>Japanese_Interiors_Singles_81.png</t>
  </si>
  <si>
    <t>Japanese_Interiors_Singles_82.png</t>
  </si>
  <si>
    <t>Japanese_Interiors_Singles_83.png</t>
  </si>
  <si>
    <t>Japanese_Interiors_Singles_84.png</t>
  </si>
  <si>
    <t>Japanese_Interiors_Singles_85.png</t>
  </si>
  <si>
    <t>Japanese_Interiors_Singles_86.png</t>
  </si>
  <si>
    <t>Japanese_Interiors_Singles_87.png</t>
  </si>
  <si>
    <t>Japanese_Interiors_Singles_88.png</t>
  </si>
  <si>
    <t>Japanese_Interiors_Singles_89.png</t>
  </si>
  <si>
    <t>Japanese_Interiors_Singles_90.png</t>
  </si>
  <si>
    <t>Japanese_Interiors_Singles_91.png</t>
  </si>
  <si>
    <t>Japanese_Interiors_Singles_92.png</t>
  </si>
  <si>
    <t>Japanese_Interiors_Singles_93.png</t>
  </si>
  <si>
    <t>Japanese_Interiors_Singles_94.png</t>
  </si>
  <si>
    <t>Japanese_Interiors_Singles_95.png</t>
  </si>
  <si>
    <t>Japanese_Interiors_Singles_96.png</t>
  </si>
  <si>
    <t>Japanese_Interiors_Singles_97.png</t>
  </si>
  <si>
    <t>Japanese_Interiors_Singles_98.png</t>
  </si>
  <si>
    <t>Japanese_Interiors_Singles_99.png</t>
  </si>
  <si>
    <t>Japanese_Interiors_Singles_100.png</t>
  </si>
  <si>
    <t>Japanese_Interiors_Singles_101.png</t>
  </si>
  <si>
    <t>Japanese_Interiors_Singles_102.png</t>
  </si>
  <si>
    <t>Japanese_Interiors_Singles_103.png</t>
  </si>
  <si>
    <t>Japanese_Interiors_Singles_104.png</t>
  </si>
  <si>
    <t>Japanese_Interiors_Singles_105.png</t>
  </si>
  <si>
    <t>Japanese_Interiors_Singles_106.png</t>
  </si>
  <si>
    <t>Japanese_Interiors_Singles_107.png</t>
  </si>
  <si>
    <t>Japanese_Interiors_Singles_108.png</t>
  </si>
  <si>
    <t>Japanese_Interiors_Singles_109.png</t>
  </si>
  <si>
    <t>Japanese_Interiors_Singles_110.png</t>
  </si>
  <si>
    <t>Japanese_Interiors_Singles_111.png</t>
  </si>
  <si>
    <t>Japanese_Interiors_Singles_112.png</t>
  </si>
  <si>
    <t>Japanese_Interiors_Singles_113.png</t>
  </si>
  <si>
    <t>Japanese_Interiors_Singles_114.png</t>
  </si>
  <si>
    <t>Japanese_Interiors_Singles_115.png</t>
  </si>
  <si>
    <t>Japanese_Interiors_Singles_116.png</t>
  </si>
  <si>
    <t>Japanese_Interiors_Singles_117.png</t>
  </si>
  <si>
    <t>Japanese_Interiors_Singles_118.png</t>
  </si>
  <si>
    <t>Japanese_Interiors_Singles_119.png</t>
  </si>
  <si>
    <t>Japanese_Interiors_Singles_120.png</t>
  </si>
  <si>
    <t>Japanese_Interiors_Singles_121.png</t>
  </si>
  <si>
    <t>Japanese_Interiors_Singles_122.png</t>
  </si>
  <si>
    <t>Japanese_Interiors_Singles_123.png</t>
  </si>
  <si>
    <t>Japanese_Interiors_Singles_124.png</t>
  </si>
  <si>
    <t>Japanese_Interiors_Singles_125.png</t>
  </si>
  <si>
    <t>Japanese_Interiors_Singles_126.png</t>
  </si>
  <si>
    <t>Japanese_Interiors_Singles_127.png</t>
  </si>
  <si>
    <t>Japanese_Interiors_Singles_128.png</t>
  </si>
  <si>
    <t>Japanese_Interiors_Singles_129.png</t>
  </si>
  <si>
    <t>Japanese_Interiors_Singles_130.png</t>
  </si>
  <si>
    <t>Japanese_Interiors_Singles_131.png</t>
  </si>
  <si>
    <t>Japanese_Interiors_Singles_132.png</t>
  </si>
  <si>
    <t>Japanese_Interiors_Singles_133.png</t>
  </si>
  <si>
    <t>Clothing_Store_Singles_1.png</t>
  </si>
  <si>
    <t>Clothing_Store_Singles_2.png</t>
  </si>
  <si>
    <t>Clothing_Store_Singles_3.png</t>
  </si>
  <si>
    <t>Clothing_Store_Singles_4.png</t>
  </si>
  <si>
    <t>Clothing_Store_Singles_5.png</t>
  </si>
  <si>
    <t>Clothing_Store_Singles_6.png</t>
  </si>
  <si>
    <t>Clothing_Store_Singles_7.png</t>
  </si>
  <si>
    <t>Clothing_Store_Singles_8.png</t>
  </si>
  <si>
    <t>Clothing_Store_Singles_9.png</t>
  </si>
  <si>
    <t>Clothing_Store_Singles_10.png</t>
  </si>
  <si>
    <t>Clothing_Store_Singles_11.png</t>
  </si>
  <si>
    <t>Clothing_Store_Singles_12.png</t>
  </si>
  <si>
    <t>Clothing_Store_Singles_13.png</t>
  </si>
  <si>
    <t>Clothing_Store_Singles_14.png</t>
  </si>
  <si>
    <t>Clothing_Store_Singles_15.png</t>
  </si>
  <si>
    <t>Clothing_Store_Singles_16.png</t>
  </si>
  <si>
    <t>Clothing_Store_Singles_17.png</t>
  </si>
  <si>
    <t>Clothing_Store_Singles_18.png</t>
  </si>
  <si>
    <t>Clothing_Store_Singles_19.png</t>
  </si>
  <si>
    <t>Clothing_Store_Singles_20.png</t>
  </si>
  <si>
    <t>Clothing_Store_Singles_21.png</t>
  </si>
  <si>
    <t>Clothing_Store_Singles_22.png</t>
  </si>
  <si>
    <t>Clothing_Store_Singles_23.png</t>
  </si>
  <si>
    <t>Clothing_Store_Singles_24.png</t>
  </si>
  <si>
    <t>Clothing_Store_Singles_25.png</t>
  </si>
  <si>
    <t>Clothing_Store_Singles_26.png</t>
  </si>
  <si>
    <t>Clothing_Store_Singles_27.png</t>
  </si>
  <si>
    <t>Clothing_Store_Singles_28.png</t>
  </si>
  <si>
    <t>Clothing_Store_Singles_29.png</t>
  </si>
  <si>
    <t>Clothing_Store_Singles_30.png</t>
  </si>
  <si>
    <t>Clothing_Store_Singles_31.png</t>
  </si>
  <si>
    <t>Clothing_Store_Singles_32.png</t>
  </si>
  <si>
    <t>Clothing_Store_Singles_33.png</t>
  </si>
  <si>
    <t>Clothing_Store_Singles_34.png</t>
  </si>
  <si>
    <t>Clothing_Store_Singles_35.png</t>
  </si>
  <si>
    <t>Clothing_Store_Singles_36.png</t>
  </si>
  <si>
    <t>Clothing_Store_Singles_37.png</t>
  </si>
  <si>
    <t>Clothing_Store_Singles_38.png</t>
  </si>
  <si>
    <t>Clothing_Store_Singles_39.png</t>
  </si>
  <si>
    <t>Clothing_Store_Singles_40.png</t>
  </si>
  <si>
    <t>Clothing_Store_Singles_41.png</t>
  </si>
  <si>
    <t>Clothing_Store_Singles_42.png</t>
  </si>
  <si>
    <t>Clothing_Store_Singles_43.png</t>
  </si>
  <si>
    <t>Clothing_Store_Singles_44.png</t>
  </si>
  <si>
    <t>Clothing_Store_Singles_45.png</t>
  </si>
  <si>
    <t>Clothing_Store_Singles_47.png</t>
  </si>
  <si>
    <t>Clothing_Store_Singles_48.png</t>
  </si>
  <si>
    <t>Clothing_Store_Singles_49.png</t>
  </si>
  <si>
    <t>Clothing_Store_Singles_50.png</t>
  </si>
  <si>
    <t>Clothing_Store_Singles_51.png</t>
  </si>
  <si>
    <t>Clothing_Store_Singles_52.png</t>
  </si>
  <si>
    <t>Clothing_Store_Singles_53.png</t>
  </si>
  <si>
    <t>Clothing_Store_Singles_54.png</t>
  </si>
  <si>
    <t>Clothing_Store_Singles_55.png</t>
  </si>
  <si>
    <t>Clothing_Store_Singles_56.png</t>
  </si>
  <si>
    <t>Clothing_Store_Singles_57.png</t>
  </si>
  <si>
    <t>Clothing_Store_Singles_58.png</t>
  </si>
  <si>
    <t>Clothing_Store_Singles_59.png</t>
  </si>
  <si>
    <t>Clothing_Store_Singles_60.png</t>
  </si>
  <si>
    <t>Clothing_Store_Singles_61.png</t>
  </si>
  <si>
    <t>Clothing_Store_Singles_62.png</t>
  </si>
  <si>
    <t>Clothing_Store_Singles_63.png</t>
  </si>
  <si>
    <t>Clothing_Store_Singles_64.png</t>
  </si>
  <si>
    <t>Clothing_Store_Singles_65.png</t>
  </si>
  <si>
    <t>Clothing_Store_Singles_66.png</t>
  </si>
  <si>
    <t>Clothing_Store_Singles_67.png</t>
  </si>
  <si>
    <t>Clothing_Store_Singles_68.png</t>
  </si>
  <si>
    <t>Clothing_Store_Singles_69.png</t>
  </si>
  <si>
    <t>Clothing_Store_Singles_70.png</t>
  </si>
  <si>
    <t>Clothing_Store_Singles_71.png</t>
  </si>
  <si>
    <t>Clothing_Store_Singles_72.png</t>
  </si>
  <si>
    <t>Clothing_Store_Singles_73.png</t>
  </si>
  <si>
    <t>Clothing_Store_Singles_74.png</t>
  </si>
  <si>
    <t>Clothing_Store_Singles_75.png</t>
  </si>
  <si>
    <t>Clothing_Store_Singles_76.png</t>
  </si>
  <si>
    <t>Clothing_Store_Singles_77.png</t>
  </si>
  <si>
    <t>Clothing_Store_Singles_78.png</t>
  </si>
  <si>
    <t>Clothing_Store_Singles_79.png</t>
  </si>
  <si>
    <t>Clothing_Store_Singles_80.png</t>
  </si>
  <si>
    <t>Clothing_Store_Singles_81.png</t>
  </si>
  <si>
    <t>Clothing_Store_Singles_82.png</t>
  </si>
  <si>
    <t>Clothing_Store_Singles_83.png</t>
  </si>
  <si>
    <t>Clothing_Store_Singles_84.png</t>
  </si>
  <si>
    <t>Clothing_Store_Singles_85.png</t>
  </si>
  <si>
    <t>Clothing_Store_Singles_86.png</t>
  </si>
  <si>
    <t>Clothing_Store_Singles_87.png</t>
  </si>
  <si>
    <t>Clothing_Store_Singles_88.png</t>
  </si>
  <si>
    <t>Clothing_Store_Singles_89.png</t>
  </si>
  <si>
    <t>Clothing_Store_Singles_90.png</t>
  </si>
  <si>
    <t>Clothing_Store_Singles_91.png</t>
  </si>
  <si>
    <t>Clothing_Store_Singles_92.png</t>
  </si>
  <si>
    <t>Clothing_Store_Singles_93.png</t>
  </si>
  <si>
    <t>Clothing_Store_Singles_94.png</t>
  </si>
  <si>
    <t>Clothing_Store_Singles_95.png</t>
  </si>
  <si>
    <t>Clothing_Store_Singles_96.png</t>
  </si>
  <si>
    <t>Clothing_Store_Singles_97.png</t>
  </si>
  <si>
    <t>Clothing_Store_Singles_98.png</t>
  </si>
  <si>
    <t>Clothing_Store_Singles_99.png</t>
  </si>
  <si>
    <t>Clothing_Store_Singles_100.png</t>
  </si>
  <si>
    <t>Clothing_Store_Singles_101.png</t>
  </si>
  <si>
    <t>Clothing_Store_Singles_102.png</t>
  </si>
  <si>
    <t>Clothing_Store_Singles_103.png</t>
  </si>
  <si>
    <t>Clothing_Store_Singles_104.png</t>
  </si>
  <si>
    <t>Clothing_Store_Singles_105.png</t>
  </si>
  <si>
    <t>Clothing_Store_Singles_106.png</t>
  </si>
  <si>
    <t>Clothing_Store_Singles_107.png</t>
  </si>
  <si>
    <t>Clothing_Store_Singles_108.png</t>
  </si>
  <si>
    <t>Clothing_Store_Singles_109.png</t>
  </si>
  <si>
    <t>Clothing_Store_Singles_110.png</t>
  </si>
  <si>
    <t>Clothing_Store_Singles_111.png</t>
  </si>
  <si>
    <t>Clothing_Store_Singles_112.png</t>
  </si>
  <si>
    <t>Clothing_Store_Singles_113.png</t>
  </si>
  <si>
    <t>Clothing_Store_Singles_114.png</t>
  </si>
  <si>
    <t>Clothing_Store_Singles_115.png</t>
  </si>
  <si>
    <t>Clothing_Store_Singles_116.png</t>
  </si>
  <si>
    <t>Clothing_Store_Singles_117.png</t>
  </si>
  <si>
    <t>Clothing_Store_Singles_118.png</t>
  </si>
  <si>
    <t>Clothing_Store_Singles_119.png</t>
  </si>
  <si>
    <t>Clothing_Store_Singles_120.png</t>
  </si>
  <si>
    <t>Clothing_Store_Singles_121.png</t>
  </si>
  <si>
    <t>Clothing_Store_Singles_122.png</t>
  </si>
  <si>
    <t>Clothing_Store_Singles_123.png</t>
  </si>
  <si>
    <t>Clothing_Store_Singles_124.png</t>
  </si>
  <si>
    <t>Clothing_Store_Singles_125.png</t>
  </si>
  <si>
    <t>Clothing_Store_Singles_126.png</t>
  </si>
  <si>
    <t>Clothing_Store_Singles_127.png</t>
  </si>
  <si>
    <t>Clothing_Store_Singles_128.png</t>
  </si>
  <si>
    <t>Clothing_Store_Singles_129.png</t>
  </si>
  <si>
    <t>Clothing_Store_Singles_130.png</t>
  </si>
  <si>
    <t>Clothing_Store_Singles_131.png</t>
  </si>
  <si>
    <t>Clothing_Store_Singles_132.png</t>
  </si>
  <si>
    <t>Clothing_Store_Singles_133.png</t>
  </si>
  <si>
    <t>Clothing_Store_Singles_134.png</t>
  </si>
  <si>
    <t>Clothing_Store_Singles_135.png</t>
  </si>
  <si>
    <t>Clothing_Store_Singles_136.png</t>
  </si>
  <si>
    <t>Clothing_Store_Singles_137.png</t>
  </si>
  <si>
    <t>Clothing_Store_Singles_138.png</t>
  </si>
  <si>
    <t>Clothing_Store_Singles_139.png</t>
  </si>
  <si>
    <t>Clothing_Store_Singles_140.png</t>
  </si>
  <si>
    <t>Clothing_Store_Singles_141.png</t>
  </si>
  <si>
    <t>Clothing_Store_Singles_142.png</t>
  </si>
  <si>
    <t>Clothing_Store_Singles_143.png</t>
  </si>
  <si>
    <t>Clothing_Store_Singles_144.png</t>
  </si>
  <si>
    <t>Clothing_Store_Singles_145.png</t>
  </si>
  <si>
    <t>Clothing_Store_Singles_146.png</t>
  </si>
  <si>
    <t>Clothing_Store_Singles_147.png</t>
  </si>
  <si>
    <t>Clothing_Store_Singles_148.png</t>
  </si>
  <si>
    <t>Clothing_Store_Singles_149.png</t>
  </si>
  <si>
    <t>Clothing_Store_Singles_150.png</t>
  </si>
  <si>
    <t>Clothing_Store_Singles_151.png</t>
  </si>
  <si>
    <t>Clothing_Store_Singles_152.png</t>
  </si>
  <si>
    <t>Clothing_Store_Singles_153.png</t>
  </si>
  <si>
    <t>Clothing_Store_Singles_154.png</t>
  </si>
  <si>
    <t>Clothing_Store_Singles_155.png</t>
  </si>
  <si>
    <t>Clothing_Store_Singles_156.png</t>
  </si>
  <si>
    <t>Clothing_Store_Singles_157.png</t>
  </si>
  <si>
    <t>Clothing_Store_Singles_158.png</t>
  </si>
  <si>
    <t>Clothing_Store_Singles_159.png</t>
  </si>
  <si>
    <t>Clothing_Store_Singles_160.png</t>
  </si>
  <si>
    <t>Clothing_Store_Singles_161.png</t>
  </si>
  <si>
    <t>Clothing_Store_Singles_162.png</t>
  </si>
  <si>
    <t>Clothing_Store_Singles_163.png</t>
  </si>
  <si>
    <t>Clothing_Store_Singles_164.png</t>
  </si>
  <si>
    <t>Clothing_Store_Singles_165.png</t>
  </si>
  <si>
    <t>Clothing_Store_Singles_166.png</t>
  </si>
  <si>
    <t>Clothing_Store_Singles_167.png</t>
  </si>
  <si>
    <t>Clothing_Store_Singles_168.png</t>
  </si>
  <si>
    <t>Clothing_Store_Singles_169.png</t>
  </si>
  <si>
    <t>Clothing_Store_Singles_170.png</t>
  </si>
  <si>
    <t>Clothing_Store_Singles_171.png</t>
  </si>
  <si>
    <t>Clothing_Store_Singles_172.png</t>
  </si>
  <si>
    <t>Clothing_Store_Singles_173.png</t>
  </si>
  <si>
    <t>Clothing_Store_Singles_174.png</t>
  </si>
  <si>
    <t>Clothing_Store_Singles_175.png</t>
  </si>
  <si>
    <t>Clothing_Store_Singles_176.png</t>
  </si>
  <si>
    <t>Clothing_Store_Singles_177.png</t>
  </si>
  <si>
    <t>Clothing_Store_Singles_178.png</t>
  </si>
  <si>
    <t>Clothing_Store_Singles_179.png</t>
  </si>
  <si>
    <t>Clothing_Store_Singles_180.png</t>
  </si>
  <si>
    <t>Clothing_Store_Singles_181.png</t>
  </si>
  <si>
    <t>Clothing_Store_Singles_182.png</t>
  </si>
  <si>
    <t>Clothing_Store_Singles_183.png</t>
  </si>
  <si>
    <t>Clothing_Store_Singles_184.png</t>
  </si>
  <si>
    <t>Clothing_Store_Singles_185.png</t>
  </si>
  <si>
    <t>Clothing_Store_Singles_187.png</t>
  </si>
  <si>
    <t>Clothing_Store_Singles_189.png</t>
  </si>
  <si>
    <t>Clothing_Store_Singles_190.png</t>
  </si>
  <si>
    <t>Clothing_Store_Singles_191.png</t>
  </si>
  <si>
    <t>Clothing_Store_Singles_192.png</t>
  </si>
  <si>
    <t>Clothing_Store_Singles_193.png</t>
  </si>
  <si>
    <t>Clothing_Store_Singles_194.png</t>
  </si>
  <si>
    <t>Clothing_Store_Singles_195.png</t>
  </si>
  <si>
    <t>Clothing_Store_Singles_196.png</t>
  </si>
  <si>
    <t>Clothing_Store_Singles_197.png</t>
  </si>
  <si>
    <t>Clothing_Store_Singles_198.png</t>
  </si>
  <si>
    <t>Clothing_Store_Singles_199.png</t>
  </si>
  <si>
    <t>Clothing_Store_Singles_200.png</t>
  </si>
  <si>
    <t>Clothing_Store_Singles_201.png</t>
  </si>
  <si>
    <t>Clothing_Store_Singles_202.png</t>
  </si>
  <si>
    <t>Clothing_Store_Singles_203.png</t>
  </si>
  <si>
    <t>Clothing_Store_Singles_204.png</t>
  </si>
  <si>
    <t>Clothing_Store_Singles_205.png</t>
  </si>
  <si>
    <t>Clothing_Store_Singles_206.png</t>
  </si>
  <si>
    <t>Clothing_Store_Singles_207.png</t>
  </si>
  <si>
    <t>Clothing_Store_Singles_208.png</t>
  </si>
  <si>
    <t>Clothing_Store_Singles_209.png</t>
  </si>
  <si>
    <t>Clothing_Store_Singles_210.png</t>
  </si>
  <si>
    <t>Clothing_Store_Singles_211.png</t>
  </si>
  <si>
    <t>Clothing_Store_Singles_212.png</t>
  </si>
  <si>
    <t>Clothing_Store_Singles_213.png</t>
  </si>
  <si>
    <t>Clothing_Store_Singles_214.png</t>
  </si>
  <si>
    <t>Clothing_Store_Singles_215.png</t>
  </si>
  <si>
    <t>Clothing_Store_Singles_216.png</t>
  </si>
  <si>
    <t>Clothing_Store_Singles_217.png</t>
  </si>
  <si>
    <t>Clothing_Store_Singles_218.png</t>
  </si>
  <si>
    <t>Clothing_Store_Singles_219.png</t>
  </si>
  <si>
    <t>Clothing_Store_Singles_220.png</t>
  </si>
  <si>
    <t>Clothing_Store_Singles_221.png</t>
  </si>
  <si>
    <t>Clothing_Store_Singles_222.png</t>
  </si>
  <si>
    <t>Clothing_Store_Singles_223.png</t>
  </si>
  <si>
    <t>Clothing_Store_Singles_224.png</t>
  </si>
  <si>
    <t>Clothing_Store_Singles_225.png</t>
  </si>
  <si>
    <t>Clothing_Store_Singles_226.png</t>
  </si>
  <si>
    <t>Clothing_Store_Singles_227.png</t>
  </si>
  <si>
    <t>Clothing_Store_Singles_228.png</t>
  </si>
  <si>
    <t>Clothing_Store_Singles_229.png</t>
  </si>
  <si>
    <t>Clothing_Store_Singles_230.png</t>
  </si>
  <si>
    <t>Clothing_Store_Singles_231.png</t>
  </si>
  <si>
    <t>Clothing_Store_Singles_232.png</t>
  </si>
  <si>
    <t>Clothing_Store_Singles_233.png</t>
  </si>
  <si>
    <t>Clothing_Store_Singles_234.png</t>
  </si>
  <si>
    <t>Clothing_Store_Singles_235.png</t>
  </si>
  <si>
    <t>Clothing_Store_Singles_246.png</t>
  </si>
  <si>
    <t>Clothing_Store_Singles_247.png</t>
  </si>
  <si>
    <t>Clothing_Store_Singles_248.png</t>
  </si>
  <si>
    <t>Clothing_Store_Singles_249.png</t>
  </si>
  <si>
    <t>Clothing_Store_Singles_250.png</t>
  </si>
  <si>
    <t>Clothing_Store_Singles_251.png</t>
  </si>
  <si>
    <t>Clothing_Store_Singles_252.png</t>
  </si>
  <si>
    <t>Clothing_Store_Singles_253.png</t>
  </si>
  <si>
    <t>Clothing_Store_Singles_254.png</t>
  </si>
  <si>
    <t>Clothing_Store_Singles_255.png</t>
  </si>
  <si>
    <t>Clothing_Store_Singles_256.png</t>
  </si>
  <si>
    <t>Clothing_Store_Singles_257.png</t>
  </si>
  <si>
    <t>Clothing_Store_Singles_258.png</t>
  </si>
  <si>
    <t>Clothing_Store_Singles_259.png</t>
  </si>
  <si>
    <t>Clothing_Store_Singles_260.png</t>
  </si>
  <si>
    <t>Clothing_Store_Singles_261.png</t>
  </si>
  <si>
    <t>Clothing_Store_Singles_262.png</t>
  </si>
  <si>
    <t>Clothing_Store_Singles_263.png</t>
  </si>
  <si>
    <t>Clothing_Store_Singles_264.png</t>
  </si>
  <si>
    <t>Clothing_Store_Singles_265.png</t>
  </si>
  <si>
    <t>Clothing_Store_Singles_266.png</t>
  </si>
  <si>
    <t>Clothing_Store_Singles_267.png</t>
  </si>
  <si>
    <t>Clothing_Store_Singles_268.png</t>
  </si>
  <si>
    <t>Clothing_Store_Singles_269.png</t>
  </si>
  <si>
    <t>Clothing_Store_Singles_270.png</t>
  </si>
  <si>
    <t>Clothing_Store_Singles_271.png</t>
  </si>
  <si>
    <t>Clothing_Store_Singles_272.png</t>
  </si>
  <si>
    <t>Clothing_Store_Singles_273.png</t>
  </si>
  <si>
    <t>Clothing_Store_Singles_274.png</t>
  </si>
  <si>
    <t>Clothing_Store_Singles_275.png</t>
  </si>
  <si>
    <t>Clothing_Store_Singles_276.png</t>
  </si>
  <si>
    <t>Clothing_Store_Singles_277.png</t>
  </si>
  <si>
    <t>Clothing_Store_Singles_278.png</t>
  </si>
  <si>
    <t>Clothing_Store_Singles_279.png</t>
  </si>
  <si>
    <t>Clothing_Store_Singles_280.png</t>
  </si>
  <si>
    <t>Clothing_Store_Singles_281.png</t>
  </si>
  <si>
    <t>Clothing_Store_Singles_282.png</t>
  </si>
  <si>
    <t>Clothing_Store_Singles_283.png</t>
  </si>
  <si>
    <t>Clothing_Store_Singles_284.png</t>
  </si>
  <si>
    <t>Clothing_Store_Singles_285.png</t>
  </si>
  <si>
    <t>Clothing_Store_Singles_286.png</t>
  </si>
  <si>
    <t>Clothing_Store_Singles_287.png</t>
  </si>
  <si>
    <t>Clothing_Store_Singles_288.png</t>
  </si>
  <si>
    <t>Clothing_Store_Singles_289.png</t>
  </si>
  <si>
    <t>Clothing_Store_Singles_290.png</t>
  </si>
  <si>
    <t>Clothing_Store_Singles_291.png</t>
  </si>
  <si>
    <t>Clothing_Store_Singles_292.png</t>
  </si>
  <si>
    <t>Clothing_Store_Singles_293.png</t>
  </si>
  <si>
    <t>Clothing_Store_Singles_294.png</t>
  </si>
  <si>
    <t>Clothing_Store_Singles_295.png</t>
  </si>
  <si>
    <t>Clothing_Store_Singles_296.png</t>
  </si>
  <si>
    <t>Clothing_Store_Singles_297.png</t>
  </si>
  <si>
    <t>Clothing_Store_Singles_298.png</t>
  </si>
  <si>
    <t>Clothing_Store_Singles_299.png</t>
  </si>
  <si>
    <t>Clothing_Store_Singles_300.png</t>
  </si>
  <si>
    <t>Clothing_Store_Singles_301.png</t>
  </si>
  <si>
    <t>Clothing_Store_Singles_302.png</t>
  </si>
  <si>
    <t>Clothing_Store_Singles_303.png</t>
  </si>
  <si>
    <t>Clothing_Store_Singles_304.png</t>
  </si>
  <si>
    <t>Clothing_Store_Singles_305.png</t>
  </si>
  <si>
    <t>Clothing_Store_Singles_306.png</t>
  </si>
  <si>
    <t>Clothing_Store_Singles_307.png</t>
  </si>
  <si>
    <t>Clothing_Store_Singles_308.png</t>
  </si>
  <si>
    <t>Clothing_Store_Singles_309.png</t>
  </si>
  <si>
    <t>Clothing_Store_Singles_310.png</t>
  </si>
  <si>
    <t>Clothing_Store_Singles_311.png</t>
  </si>
  <si>
    <t>Clothing_Store_Singles_312.png</t>
  </si>
  <si>
    <t>Clothing_Store_Singles_313.png</t>
  </si>
  <si>
    <t>Clothing_Store_Singles_314.png</t>
  </si>
  <si>
    <t>Clothing_Store_Singles_315.png</t>
  </si>
  <si>
    <t>Clothing_Store_Singles_316.png</t>
  </si>
  <si>
    <t>Clothing_Store_Singles_317.png</t>
  </si>
  <si>
    <t>Clothing_Store_Singles_318.png</t>
  </si>
  <si>
    <t>Clothing_Store_Singles_319.png</t>
  </si>
  <si>
    <t>Clothing_Store_Singles_320.png</t>
  </si>
  <si>
    <t>Clothing_Store_Singles_321.png</t>
  </si>
  <si>
    <t>Clothing_Store_Singles_322.png</t>
  </si>
  <si>
    <t>Clothing_Store_Singles_323.png</t>
  </si>
  <si>
    <t>Clothing_Store_Singles_324.png</t>
  </si>
  <si>
    <t>Clothing_Store_Singles_325.png</t>
  </si>
  <si>
    <t>Clothing_Store_Singles_326.png</t>
  </si>
  <si>
    <t>Clothing_Store_Singles_327.png</t>
  </si>
  <si>
    <t>Clothing_Store_Singles_328.png</t>
  </si>
  <si>
    <t>Clothing_Store_Singles_329.png</t>
  </si>
  <si>
    <t>Clothing_Store_Singles_330.png</t>
  </si>
  <si>
    <t>Clothing_Store_Singles_331.png</t>
  </si>
  <si>
    <t>Clothing_Store_Singles_332.png</t>
  </si>
  <si>
    <t>Clothing_Store_Singles_333.png</t>
  </si>
  <si>
    <t>Clothing_Store_Singles_334.png</t>
  </si>
  <si>
    <t>Clothing_Store_Singles_335.png</t>
  </si>
  <si>
    <t>Clothing_Store_Singles_336.png</t>
  </si>
  <si>
    <t>Clothing_Store_Singles_337.png</t>
  </si>
  <si>
    <t>Clothing_Store_Singles_338.png</t>
  </si>
  <si>
    <t>Clothing_Store_Singles_339.png</t>
  </si>
  <si>
    <t>Clothing_Store_Singles_340.png</t>
  </si>
  <si>
    <t>Clothing_Store_Singles_341.png</t>
  </si>
  <si>
    <t>Clothing_Store_Singles_342.png</t>
  </si>
  <si>
    <t>Clothing_Store_Singles_343.png</t>
  </si>
  <si>
    <t>Clothing_Store_Singles_344.png</t>
  </si>
  <si>
    <t>Clothing_Store_Singles_345.png</t>
  </si>
  <si>
    <t>Clothing_Store_Singles_346.png</t>
  </si>
  <si>
    <t>Clothing_Store_Singles_347.png</t>
  </si>
  <si>
    <t>Clothing_Store_Singles_348.png</t>
  </si>
  <si>
    <t>Clothing_Store_Singles_349.png</t>
  </si>
  <si>
    <t>Clothing_Store_Singles_350.png</t>
  </si>
  <si>
    <t>Clothing_Store_Singles_351.png</t>
  </si>
  <si>
    <t>Clothing_Store_Singles_352.png</t>
  </si>
  <si>
    <t>Clothing_Store_Singles_353.png</t>
  </si>
  <si>
    <t>Clothing_Store_Singles_354.png</t>
  </si>
  <si>
    <t>Clothing_Store_Singles_355.png</t>
  </si>
  <si>
    <t>Clothing_Store_Singles_356.png</t>
  </si>
  <si>
    <t>Clothing_Store_Singles_357.png</t>
  </si>
  <si>
    <t>Clothing_Store_Singles_358.png</t>
  </si>
  <si>
    <t>Clothing_Store_Singles_359.png</t>
  </si>
  <si>
    <t>Clothing_Store_Singles_360.png</t>
  </si>
  <si>
    <t>Clothing_Store_Singles_361.png</t>
  </si>
  <si>
    <t>Clothing_Store_Singles_362.png</t>
  </si>
  <si>
    <t>Clothing_Store_Singles_363.png</t>
  </si>
  <si>
    <t>Clothing_Store_Singles_364.png</t>
  </si>
  <si>
    <t>Clothing_Store_Singles_365.png</t>
  </si>
  <si>
    <t>Clothing_Store_Singles_366.png</t>
  </si>
  <si>
    <t>Clothing_Store_Singles_367.png</t>
  </si>
  <si>
    <t>Clothing_Store_Singles_368.png</t>
  </si>
  <si>
    <t>Clothing_Store_Singles_369.png</t>
  </si>
  <si>
    <t>Clothing_Store_Singles_370.png</t>
  </si>
  <si>
    <t>Clothing_Store_Singles_371.png</t>
  </si>
  <si>
    <t>Clothing_Store_Singles_372.png</t>
  </si>
  <si>
    <t>Clothing_Store_Singles_373.png</t>
  </si>
  <si>
    <t>Clothing_Store_Singles_374.png</t>
  </si>
  <si>
    <t>Clothing_Store_Singles_375.png</t>
  </si>
  <si>
    <t>Clothing_Store_Singles_376.png</t>
  </si>
  <si>
    <t>Clothing_Store_Singles_377.png</t>
  </si>
  <si>
    <t>Clothing_Store_Singles_378.png</t>
  </si>
  <si>
    <t>Clothing_Store_Singles_379.png</t>
  </si>
  <si>
    <t>Clothing_Store_Singles_380.png</t>
  </si>
  <si>
    <t>Clothing_Store_Singles_381.png</t>
  </si>
  <si>
    <t>Clothing_Store_Singles_382.png</t>
  </si>
  <si>
    <t>Clothing_Store_Singles_383.png</t>
  </si>
  <si>
    <t>Clothing_Store_Singles_384.png</t>
  </si>
  <si>
    <t>Clothing_Store_Singles_385.png</t>
  </si>
  <si>
    <t>Clothing_Store_Singles_386.png</t>
  </si>
  <si>
    <t>Clothing_Store_Singles_387.png</t>
  </si>
  <si>
    <t>Clothing_Store_Singles_388.png</t>
  </si>
  <si>
    <t>Clothing_Store_Singles_389.png</t>
  </si>
  <si>
    <t>Clothing_Store_Singles_390.png</t>
  </si>
  <si>
    <t>Clothing_Store_Singles_391.png</t>
  </si>
  <si>
    <t>Clothing_Store_Singles_392.png</t>
  </si>
  <si>
    <t>Clothing_Store_Singles_393.png</t>
  </si>
  <si>
    <t>Clothing_Store_Singles_394.png</t>
  </si>
  <si>
    <t>Clothing_Store_Singles_395.png</t>
  </si>
  <si>
    <t>Clothing_Store_Singles_396.png</t>
  </si>
  <si>
    <t>Clothing_Store_Singles_397.png</t>
  </si>
  <si>
    <t>Clothing_Store_Singles_398.png</t>
  </si>
  <si>
    <t>Clothing_Store_Singles_399.png</t>
  </si>
  <si>
    <t>Clothing_Store_Singles_400.png</t>
  </si>
  <si>
    <t>Clothing_Store_Singles_401.png</t>
  </si>
  <si>
    <t>Clothing_Store_Singles_402.png</t>
  </si>
  <si>
    <t>Clothing_Store_Singles_403.png</t>
  </si>
  <si>
    <t>Clothing_Store_Singles_404.png</t>
  </si>
  <si>
    <t>Clothing_Store_Singles_405.png</t>
  </si>
  <si>
    <t>Clothing_Store_Singles_406.png</t>
  </si>
  <si>
    <t>Clothing_Store_Singles_407.png</t>
  </si>
  <si>
    <t>Clothing_Store_Singles_408.png</t>
  </si>
  <si>
    <t>Clothing_Store_Singles_409.png</t>
  </si>
  <si>
    <t>Clothing_Store_Singles_410.png</t>
  </si>
  <si>
    <t>Clothing_Store_Singles_411.png</t>
  </si>
  <si>
    <t>Clothing_Store_Singles_412.png</t>
  </si>
  <si>
    <t>Clothing_Store_Singles_413.png</t>
  </si>
  <si>
    <t>Clothing_Store_Singles_414.png</t>
  </si>
  <si>
    <t>Clothing_Store_Singles_415.png</t>
  </si>
  <si>
    <t>Clothing_Store_Singles_416.png</t>
  </si>
  <si>
    <t>Clothing_Store_Singles_417.png</t>
  </si>
  <si>
    <t>Clothing_Store_Singles_418.png</t>
  </si>
  <si>
    <t>Clothing_Store_Singles_419.png</t>
  </si>
  <si>
    <t>Clothing_Store_Singles_420.png</t>
  </si>
  <si>
    <t>Clothing_Store_Singles_421.png</t>
  </si>
  <si>
    <t>Clothing_Store_Singles_422.png</t>
  </si>
  <si>
    <t>Clothing_Store_Singles_423.png</t>
  </si>
  <si>
    <t>Clothing_Store_Singles_424.png</t>
  </si>
  <si>
    <t>Clothing_Store_Singles_425.png</t>
  </si>
  <si>
    <t>Clothing_Store_Singles_426.png</t>
  </si>
  <si>
    <t>Clothing_Store_Singles_427.png</t>
  </si>
  <si>
    <t>Clothing_Store_Singles_428.png</t>
  </si>
  <si>
    <t>Clothing_Store_Singles_429.png</t>
  </si>
  <si>
    <t>Clothing_Store_Singles_430.png</t>
  </si>
  <si>
    <t>Clothing_Store_Singles_431.png</t>
  </si>
  <si>
    <t>Clothing_Store_Singles_432.png</t>
  </si>
  <si>
    <t>Clothing_Store_Singles_433.png</t>
  </si>
  <si>
    <t>Clothing_Store_Singles_434.png</t>
  </si>
  <si>
    <t>Clothing_Store_Singles_435.png</t>
  </si>
  <si>
    <t>Clothing_Store_Singles_436.png</t>
  </si>
  <si>
    <t>Clothing_Store_Singles_437.png</t>
  </si>
  <si>
    <t>Clothing_Store_Singles_438.png</t>
  </si>
  <si>
    <t>Clothing_Store_Singles_439.png</t>
  </si>
  <si>
    <t>Clothing_Store_Singles_440.png</t>
  </si>
  <si>
    <t>Clothing_Store_Singles_441.png</t>
  </si>
  <si>
    <t>Clothing_Store_Singles_442.png</t>
  </si>
  <si>
    <t>Clothing_Store_Singles_443.png</t>
  </si>
  <si>
    <t>Clothing_Store_Singles_444.png</t>
  </si>
  <si>
    <t>Clothing_Store_Singles_445.png</t>
  </si>
  <si>
    <t>Clothing_Store_Singles_446.png</t>
  </si>
  <si>
    <t>Clothing_Store_Singles_447.png</t>
  </si>
  <si>
    <t>Clothing_Store_Singles_448.png</t>
  </si>
  <si>
    <t>Clothing_Store_Singles_449.png</t>
  </si>
  <si>
    <t>Clothing_Store_Singles_450.png</t>
  </si>
  <si>
    <t>Clothing_Store_Singles_451.png</t>
  </si>
  <si>
    <t>Clothing_Store_Singles_452.png</t>
  </si>
  <si>
    <t>Clothing_Store_Singles_453.png</t>
  </si>
  <si>
    <t>Clothing_Store_Singles_454.png</t>
  </si>
  <si>
    <t>Clothing_Store_Singles_455.png</t>
  </si>
  <si>
    <t>Clothing_Store_Singles_456.png</t>
  </si>
  <si>
    <t>Clothing_Store_Singles_457.png</t>
  </si>
  <si>
    <t>Clothing_Store_Singles_458.png</t>
  </si>
  <si>
    <t>Clothing_Store_Singles_459.png</t>
  </si>
  <si>
    <t>Clothing_Store_Singles_460.png</t>
  </si>
  <si>
    <t>Clothing_Store_Singles_461.png</t>
  </si>
  <si>
    <t>Clothing_Store_Singles_462.png</t>
  </si>
  <si>
    <t>Clothing_Store_Singles_463.png</t>
  </si>
  <si>
    <t>Clothing_Store_Singles_464.png</t>
  </si>
  <si>
    <t>Clothing_Store_Singles_465.png</t>
  </si>
  <si>
    <t>Clothing_Store_Singles_466.png</t>
  </si>
  <si>
    <t>Clothing_Store_Singles_467.png</t>
  </si>
  <si>
    <t>Clothing_Store_Singles_468.png</t>
  </si>
  <si>
    <t>Clothing_Store_Singles_469.png</t>
  </si>
  <si>
    <t>Clothing_Store_Singles_470.png</t>
  </si>
  <si>
    <t>Clothing_Store_Singles_471.png</t>
  </si>
  <si>
    <t>Clothing_Store_Singles_472.png</t>
  </si>
  <si>
    <t>Clothing_Store_Singles_473.png</t>
  </si>
  <si>
    <t>Clothing_Store_Singles_474.png</t>
  </si>
  <si>
    <t>Clothing_Store_Singles_475.png</t>
  </si>
  <si>
    <t>Clothing_Store_Singles_476.png</t>
  </si>
  <si>
    <t>Clothing_Store_Singles_477.png</t>
  </si>
  <si>
    <t>Clothing_Store_Singles_478.png</t>
  </si>
  <si>
    <t>Clothing_Store_Singles_479.png</t>
  </si>
  <si>
    <t>Clothing_Store_Singles_480.png</t>
  </si>
  <si>
    <t>Clothing_Store_Singles_481.png</t>
  </si>
  <si>
    <t>Clothing_Store_Singles_482.png</t>
  </si>
  <si>
    <t>Clothing_Store_Singles_483.png</t>
  </si>
  <si>
    <t>Clothing_Store_Singles_484.png</t>
  </si>
  <si>
    <t>Clothing_Store_Singles_485.png</t>
  </si>
  <si>
    <t>Clothing_Store_Singles_486.png</t>
  </si>
  <si>
    <t>Clothing_Store_Singles_487.png</t>
  </si>
  <si>
    <t>Clothing_Store_Singles_488.png</t>
  </si>
  <si>
    <t>Clothing_Store_Singles_489.png</t>
  </si>
  <si>
    <t>Clothing_Store_Singles_490.png</t>
  </si>
  <si>
    <t>Clothing_Store_Singles_491.png</t>
  </si>
  <si>
    <t>Clothing_Store_Singles_492.png</t>
  </si>
  <si>
    <t>Clothing_Store_Singles_493.png</t>
  </si>
  <si>
    <t>Clothing_Store_Singles_494.png</t>
  </si>
  <si>
    <t>Museum_Singles_1.png</t>
  </si>
  <si>
    <t>Museum_Singles_2.png</t>
  </si>
  <si>
    <t>Museum_Singles_3.png</t>
  </si>
  <si>
    <t>Museum_Singles_4.png</t>
  </si>
  <si>
    <t>Museum_Singles_5.png</t>
  </si>
  <si>
    <t>Museum_Singles_6.png</t>
  </si>
  <si>
    <t>Museum_Singles_7.png</t>
  </si>
  <si>
    <t>Museum_Singles_8.png</t>
  </si>
  <si>
    <t>Museum_Singles_9.png</t>
  </si>
  <si>
    <t>Museum_Singles_10.png</t>
  </si>
  <si>
    <t>Museum_Singles_11.png</t>
  </si>
  <si>
    <t>Museum_Singles_12.png</t>
  </si>
  <si>
    <t>Museum_Singles_13.png</t>
  </si>
  <si>
    <t>Museum_Singles_15.png</t>
  </si>
  <si>
    <t>Museum_Singles_16.png</t>
  </si>
  <si>
    <t>Museum_Singles_17.png</t>
  </si>
  <si>
    <t>Museum_Singles_18.png</t>
  </si>
  <si>
    <t>Museum_Singles_19.png</t>
  </si>
  <si>
    <t>Museum_Singles_20.png</t>
  </si>
  <si>
    <t>Museum_Singles_21.png</t>
  </si>
  <si>
    <t>Museum_Singles_22.png</t>
  </si>
  <si>
    <t>Museum_Singles_23.png</t>
  </si>
  <si>
    <t>Museum_Singles_24.png</t>
  </si>
  <si>
    <t>Museum_Singles_25.png</t>
  </si>
  <si>
    <t>Museum_Singles_26.png</t>
  </si>
  <si>
    <t>Museum_Singles_27.png</t>
  </si>
  <si>
    <t>Museum_Singles_28.png</t>
  </si>
  <si>
    <t>Museum_Singles_29.png</t>
  </si>
  <si>
    <t>Museum_Singles_30.png</t>
  </si>
  <si>
    <t>Museum_Singles_31.png</t>
  </si>
  <si>
    <t>Museum_Singles_32.png</t>
  </si>
  <si>
    <t>Museum_Singles_33.png</t>
  </si>
  <si>
    <t>Museum_Singles_34.png</t>
  </si>
  <si>
    <t>Museum_Singles_35.png</t>
  </si>
  <si>
    <t>Museum_Singles_36.png</t>
  </si>
  <si>
    <t>Museum_Singles_37.png</t>
  </si>
  <si>
    <t>Museum_Singles_38.png</t>
  </si>
  <si>
    <t>Museum_Singles_39.png</t>
  </si>
  <si>
    <t>Museum_Singles_40.png</t>
  </si>
  <si>
    <t>Museum_Singles_41.png</t>
  </si>
  <si>
    <t>Museum_Singles_42.png</t>
  </si>
  <si>
    <t>Museum_Singles_43.png</t>
  </si>
  <si>
    <t>Museum_Singles_44.png</t>
  </si>
  <si>
    <t>Museum_Singles_45.png</t>
  </si>
  <si>
    <t>Museum_Singles_46.png</t>
  </si>
  <si>
    <t>Museum_Singles_47.png</t>
  </si>
  <si>
    <t>Museum_Singles_48.png</t>
  </si>
  <si>
    <t>Museum_Singles_49.png</t>
  </si>
  <si>
    <t>Museum_Singles_50.png</t>
  </si>
  <si>
    <t>Museum_Singles_51.png</t>
  </si>
  <si>
    <t>Museum_Singles_52.png</t>
  </si>
  <si>
    <t>Museum_Singles_53.png</t>
  </si>
  <si>
    <t>Museum_Singles_54.png</t>
  </si>
  <si>
    <t>Museum_Singles_55.png</t>
  </si>
  <si>
    <t>Museum_Singles_56.png</t>
  </si>
  <si>
    <t>Museum_Singles_57.png</t>
  </si>
  <si>
    <t>Museum_Singles_58.png</t>
  </si>
  <si>
    <t>Museum_Singles_59.png</t>
  </si>
  <si>
    <t>Museum_Singles_60.png</t>
  </si>
  <si>
    <t>Museum_Singles_61.png</t>
  </si>
  <si>
    <t>Museum_Singles_62.png</t>
  </si>
  <si>
    <t>Museum_Singles_63.png</t>
  </si>
  <si>
    <t>Museum_Singles_64.png</t>
  </si>
  <si>
    <t>Museum_Singles_65.png</t>
  </si>
  <si>
    <t>Museum_Singles_66.png</t>
  </si>
  <si>
    <t>Museum_Singles_67.png</t>
  </si>
  <si>
    <t>Museum_Singles_68.png</t>
  </si>
  <si>
    <t>Museum_Singles_69.png</t>
  </si>
  <si>
    <t>Museum_Singles_70.png</t>
  </si>
  <si>
    <t>Museum_Singles_71.png</t>
  </si>
  <si>
    <t>Museum_Singles_72.png</t>
  </si>
  <si>
    <t>Museum_Singles_73.png</t>
  </si>
  <si>
    <t>Museum_Singles_74.png</t>
  </si>
  <si>
    <t>Museum_Singles_75.png</t>
  </si>
  <si>
    <t>Museum_Singles_76.png</t>
  </si>
  <si>
    <t>Museum_Singles_77.png</t>
  </si>
  <si>
    <t>Museum_Singles_78.png</t>
  </si>
  <si>
    <t>Museum_Singles_79.png</t>
  </si>
  <si>
    <t>Museum_Singles_80.png</t>
  </si>
  <si>
    <t>Museum_Singles_81.png</t>
  </si>
  <si>
    <t>Museum_Singles_82.png</t>
  </si>
  <si>
    <t>Museum_Singles_83.png</t>
  </si>
  <si>
    <t>Museum_Singles_84.png</t>
  </si>
  <si>
    <t>Museum_Singles_85.png</t>
  </si>
  <si>
    <t>Museum_Singles_86.png</t>
  </si>
  <si>
    <t>Museum_Singles_87.png</t>
  </si>
  <si>
    <t>Museum_Singles_88.png</t>
  </si>
  <si>
    <t>Museum_Singles_89.png</t>
  </si>
  <si>
    <t>Museum_Singles_90.png</t>
  </si>
  <si>
    <t>Museum_Singles_91.png</t>
  </si>
  <si>
    <t>Museum_Singles_92.png</t>
  </si>
  <si>
    <t>Museum_Singles_93.png</t>
  </si>
  <si>
    <t>Museum_Singles_94.png</t>
  </si>
  <si>
    <t>Museum_Singles_95.png</t>
  </si>
  <si>
    <t>Museum_Singles_96.png</t>
  </si>
  <si>
    <t>Museum_Singles_97.png</t>
  </si>
  <si>
    <t>Museum_Singles_98.png</t>
  </si>
  <si>
    <t>Museum_Singles_99.png</t>
  </si>
  <si>
    <t>Museum_Singles_100.png</t>
  </si>
  <si>
    <t>Museum_Singles_101.png</t>
  </si>
  <si>
    <t>Museum_Singles_102.png</t>
  </si>
  <si>
    <t>Museum_Singles_103.png</t>
  </si>
  <si>
    <t>Museum_Singles_104.png</t>
  </si>
  <si>
    <t>Museum_Singles_105.png</t>
  </si>
  <si>
    <t>Museum_Singles_106.png</t>
  </si>
  <si>
    <t>Museum_Singles_107.png</t>
  </si>
  <si>
    <t>Museum_Singles_108.png</t>
  </si>
  <si>
    <t>Museum_Singles_109.png</t>
  </si>
  <si>
    <t>Museum_Singles_110.png</t>
  </si>
  <si>
    <t>Museum_Singles_111.png</t>
  </si>
  <si>
    <t>Museum_Singles_112.png</t>
  </si>
  <si>
    <t>Museum_Singles_113.png</t>
  </si>
  <si>
    <t>Museum_Singles_114.png</t>
  </si>
  <si>
    <t>Museum_Singles_115.png</t>
  </si>
  <si>
    <t>Museum_Singles_116.png</t>
  </si>
  <si>
    <t>Museum_Singles_117.png</t>
  </si>
  <si>
    <t>Museum_Singles_118.png</t>
  </si>
  <si>
    <t>Museum_Singles_119.png</t>
  </si>
  <si>
    <t>Museum_Singles_120.png</t>
  </si>
  <si>
    <t>Museum_Singles_121.png</t>
  </si>
  <si>
    <t>Museum_Singles_122.png</t>
  </si>
  <si>
    <t>Museum_Singles_123.png</t>
  </si>
  <si>
    <t>Museum_Singles_124.png</t>
  </si>
  <si>
    <t>Museum_Singles_125.png</t>
  </si>
  <si>
    <t>Museum_Singles_126.png</t>
  </si>
  <si>
    <t>Museum_Singles_127.png</t>
  </si>
  <si>
    <t>Museum_Singles_128.png</t>
  </si>
  <si>
    <t>Museum_Singles_129.png</t>
  </si>
  <si>
    <t>Museum_Singles_130.png</t>
  </si>
  <si>
    <t>Museum_Singles_131.png</t>
  </si>
  <si>
    <t>Museum_Singles_132.png</t>
  </si>
  <si>
    <t>Museum_Singles_133.png</t>
  </si>
  <si>
    <t>Museum_Singles_134.png</t>
  </si>
  <si>
    <t>Museum_Singles_135.png</t>
  </si>
  <si>
    <t>Museum_Singles_136.png</t>
  </si>
  <si>
    <t>Museum_Singles_137.png</t>
  </si>
  <si>
    <t>Museum_Singles_138.png</t>
  </si>
  <si>
    <t>Museum_Singles_139.png</t>
  </si>
  <si>
    <t>Museum_Singles_140.png</t>
  </si>
  <si>
    <t>Museum_Singles_141.png</t>
  </si>
  <si>
    <t>Museum_Singles_142.png</t>
  </si>
  <si>
    <t>Museum_Singles_143.png</t>
  </si>
  <si>
    <t>Museum_Singles_144.png</t>
  </si>
  <si>
    <t>Museum_Singles_145.png</t>
  </si>
  <si>
    <t>Museum_Singles_146.png</t>
  </si>
  <si>
    <t>Museum_Singles_147.png</t>
  </si>
  <si>
    <t>Museum_Singles_148.png</t>
  </si>
  <si>
    <t>Museum_Singles_149.png</t>
  </si>
  <si>
    <t>Museum_Singles_150.png</t>
  </si>
  <si>
    <t>Museum_Singles_151.png</t>
  </si>
  <si>
    <t>Museum_Singles_152.png</t>
  </si>
  <si>
    <t>Museum_Singles_153.png</t>
  </si>
  <si>
    <t>Museum_Singles_154.png</t>
  </si>
  <si>
    <t>Museum_Singles_155.png</t>
  </si>
  <si>
    <t>Museum_Singles_156.png</t>
  </si>
  <si>
    <t>Museum_Singles_157.png</t>
  </si>
  <si>
    <t>Museum_Singles_158.png</t>
  </si>
  <si>
    <t>Museum_Singles_159.png</t>
  </si>
  <si>
    <t>Museum_Singles_160.png</t>
  </si>
  <si>
    <t>Museum_Singles_161.png</t>
  </si>
  <si>
    <t>Museum_Singles_162.png</t>
  </si>
  <si>
    <t>Museum_Singles_163.png</t>
  </si>
  <si>
    <t>Museum_Singles_164.png</t>
  </si>
  <si>
    <t>Museum_Singles_165.png</t>
  </si>
  <si>
    <t>Museum_Singles_166.png</t>
  </si>
  <si>
    <t>Museum_Singles_167.png</t>
  </si>
  <si>
    <t>Museum_Singles_168.png</t>
  </si>
  <si>
    <t>Museum_Singles_169.png</t>
  </si>
  <si>
    <t>Museum_Singles_170.png</t>
  </si>
  <si>
    <t>Museum_Singles_171.png</t>
  </si>
  <si>
    <t>Museum_Singles_172.png</t>
  </si>
  <si>
    <t>Museum_Singles_173.png</t>
  </si>
  <si>
    <t>Museum_Singles_174.png</t>
  </si>
  <si>
    <t>Museum_Singles_175.png</t>
  </si>
  <si>
    <t>Museum_Singles_176.png</t>
  </si>
  <si>
    <t>Museum_Singles_177.png</t>
  </si>
  <si>
    <t>Museum_Singles_178.png</t>
  </si>
  <si>
    <t>Museum_Singles_179.png</t>
  </si>
  <si>
    <t>Museum_Singles_180.png</t>
  </si>
  <si>
    <t>Museum_Singles_181.png</t>
  </si>
  <si>
    <t>Museum_Singles_182.png</t>
  </si>
  <si>
    <t>Museum_Singles_183.png</t>
  </si>
  <si>
    <t>Museum_Singles_184.png</t>
  </si>
  <si>
    <t>Museum_Singles_185.png</t>
  </si>
  <si>
    <t>Museum_Singles_186.png</t>
  </si>
  <si>
    <t>Museum_Singles_187.png</t>
  </si>
  <si>
    <t>Museum_Singles_188.png</t>
  </si>
  <si>
    <t>Museum_Singles_189.png</t>
  </si>
  <si>
    <t>Museum_Singles_190.png</t>
  </si>
  <si>
    <t>Museum_Singles_191.png</t>
  </si>
  <si>
    <t>Museum_Singles_192.png</t>
  </si>
  <si>
    <t>Museum_Singles_193.png</t>
  </si>
  <si>
    <t>Museum_Singles_194.png</t>
  </si>
  <si>
    <t>Museum_Singles_195.png</t>
  </si>
  <si>
    <t>Museum_Singles_196.png</t>
  </si>
  <si>
    <t>Museum_Singles_197.png</t>
  </si>
  <si>
    <t>Museum_Singles_198.png</t>
  </si>
  <si>
    <t>Museum_Singles_199.png</t>
  </si>
  <si>
    <t>Museum_Singles_200.png</t>
  </si>
  <si>
    <t>Museum_Singles_201.png</t>
  </si>
  <si>
    <t>Museum_Singles_202.png</t>
  </si>
  <si>
    <t>Museum_Singles_203.png</t>
  </si>
  <si>
    <t>Museum_Singles_204.png</t>
  </si>
  <si>
    <t>Museum_Singles_205.png</t>
  </si>
  <si>
    <t>Museum_Singles_206.png</t>
  </si>
  <si>
    <t>Museum_Singles_207.png</t>
  </si>
  <si>
    <t>Museum_Singles_208.png</t>
  </si>
  <si>
    <t>Museum_Singles_209.png</t>
  </si>
  <si>
    <t>Museum_Singles_210.png</t>
  </si>
  <si>
    <t>Museum_Singles_211.png</t>
  </si>
  <si>
    <t>Museum_Singles_212.png</t>
  </si>
  <si>
    <t>Museum_Singles_213.png</t>
  </si>
  <si>
    <t>Museum_Singles_214.png</t>
  </si>
  <si>
    <t>Museum_Singles_215.png</t>
  </si>
  <si>
    <t>Museum_Singles_216.png</t>
  </si>
  <si>
    <t>Museum_Singles_217.png</t>
  </si>
  <si>
    <t>Museum_Singles_218.png</t>
  </si>
  <si>
    <t>Museum_Singles_219.png</t>
  </si>
  <si>
    <t>Museum_Singles_220.png</t>
  </si>
  <si>
    <t>Museum_Singles_221.png</t>
  </si>
  <si>
    <t>Museum_Singles_222.png</t>
  </si>
  <si>
    <t>Museum_Singles_223.png</t>
  </si>
  <si>
    <t>Museum_Singles_224.png</t>
  </si>
  <si>
    <t>Museum_Singles_225.png</t>
  </si>
  <si>
    <t>Museum_Singles_226.png</t>
  </si>
  <si>
    <t>Museum_Singles_227.png</t>
  </si>
  <si>
    <t>Museum_Singles_228.png</t>
  </si>
  <si>
    <t>Museum_Singles_229.png</t>
  </si>
  <si>
    <t>Museum_Singles_230.png</t>
  </si>
  <si>
    <t>Museum_Singles_231.png</t>
  </si>
  <si>
    <t>Museum_Singles_232.png</t>
  </si>
  <si>
    <t>Museum_Singles_233.png</t>
  </si>
  <si>
    <t>Museum_Singles_234.png</t>
  </si>
  <si>
    <t>Museum_Singles_235.png</t>
  </si>
  <si>
    <t>Museum_Singles_236.png</t>
  </si>
  <si>
    <t>Museum_Singles_237.png</t>
  </si>
  <si>
    <t>Museum_Singles_238.png</t>
  </si>
  <si>
    <t>Museum_Singles_239.png</t>
  </si>
  <si>
    <t>Museum_Singles_240.png</t>
  </si>
  <si>
    <t>Museum_Singles_241.png</t>
  </si>
  <si>
    <t>Museum_Singles_242.png</t>
  </si>
  <si>
    <t>Museum_Singles_243.png</t>
  </si>
  <si>
    <t>Museum_Singles_244.png</t>
  </si>
  <si>
    <t>Museum_Singles_245.png</t>
  </si>
  <si>
    <t>Museum_Singles_246.png</t>
  </si>
  <si>
    <t>Museum_Singles_247.png</t>
  </si>
  <si>
    <t>Museum_Singles_248.png</t>
  </si>
  <si>
    <t>Museum_Singles_249.png</t>
  </si>
  <si>
    <t>Museum_Singles_250.png</t>
  </si>
  <si>
    <t>Museum_Singles_251.png</t>
  </si>
  <si>
    <t>Museum_Singles_252.png</t>
  </si>
  <si>
    <t>Museum_Singles_253.png</t>
  </si>
  <si>
    <t>Museum_Singles_254.png</t>
  </si>
  <si>
    <t>Museum_Singles_255.png</t>
  </si>
  <si>
    <t>Museum_Singles_256.png</t>
  </si>
  <si>
    <t>Museum_Singles_257.png</t>
  </si>
  <si>
    <t>Museum_Singles_258.png</t>
  </si>
  <si>
    <t>Museum_Singles_259.png</t>
  </si>
  <si>
    <t>Museum_Singles_260.png</t>
  </si>
  <si>
    <t>Museum_Singles_261.png</t>
  </si>
  <si>
    <t>Museum_Singles_262.png</t>
  </si>
  <si>
    <t>Museum_Singles_263.png</t>
  </si>
  <si>
    <t>Museum_Singles_264.png</t>
  </si>
  <si>
    <t>Museum_Singles_265.png</t>
  </si>
  <si>
    <t>Museum_Singles_266.png</t>
  </si>
  <si>
    <t>Museum_Singles_267.png</t>
  </si>
  <si>
    <t>Museum_Singles_268.png</t>
  </si>
  <si>
    <t>Museum_Singles_269.png</t>
  </si>
  <si>
    <t>Museum_Singles_270.png</t>
  </si>
  <si>
    <t>Museum_Singles_271.png</t>
  </si>
  <si>
    <t>Museum_Singles_272.png</t>
  </si>
  <si>
    <t>Museum_Singles_273.png</t>
  </si>
  <si>
    <t>Museum_Singles_274.png</t>
  </si>
  <si>
    <t>Museum_Singles_275.png</t>
  </si>
  <si>
    <t>Museum_Singles_276.png</t>
  </si>
  <si>
    <t>Museum_Singles_277.png</t>
  </si>
  <si>
    <t>Museum_Singles_278.png</t>
  </si>
  <si>
    <t>Museum_Singles_279.png</t>
  </si>
  <si>
    <t>Museum_Singles_280.png</t>
  </si>
  <si>
    <t>Museum_Singles_281.png</t>
  </si>
  <si>
    <t>Museum_Singles_282.png</t>
  </si>
  <si>
    <t>Museum_Singles_283.png</t>
  </si>
  <si>
    <t>Museum_Singles_284.png</t>
  </si>
  <si>
    <t>Museum_Singles_285.png</t>
  </si>
  <si>
    <t>Museum_Singles_286.png</t>
  </si>
  <si>
    <t>Museum_Singles_287.png</t>
  </si>
  <si>
    <t>Museum_Singles_288.png</t>
  </si>
  <si>
    <t>Museum_Singles_289.png</t>
  </si>
  <si>
    <t>Museum_Singles_290.png</t>
  </si>
  <si>
    <t>Museum_Singles_291.png</t>
  </si>
  <si>
    <t>Museum_Singles_292.png</t>
  </si>
  <si>
    <t>Museum_Singles_293.png</t>
  </si>
  <si>
    <t>Museum_Singles_294.png</t>
  </si>
  <si>
    <t>Museum_Singles_295.png</t>
  </si>
  <si>
    <t>Museum_Singles_296.png</t>
  </si>
  <si>
    <t>Museum_Singles_297.png</t>
  </si>
  <si>
    <t>Museum_Singles_298.png</t>
  </si>
  <si>
    <t>Museum_Singles_299.png</t>
  </si>
  <si>
    <t>Museum_Singles_300.png</t>
  </si>
  <si>
    <t>Museum_Singles_301.png</t>
  </si>
  <si>
    <t>Museum_Singles_302.png</t>
  </si>
  <si>
    <t>Museum_Singles_303.png</t>
  </si>
  <si>
    <t>Museum_Singles_304.png</t>
  </si>
  <si>
    <t>Museum_Singles_305.png</t>
  </si>
  <si>
    <t>Museum_Singles_306.png</t>
  </si>
  <si>
    <t>Museum_Singles_307.png</t>
  </si>
  <si>
    <t>Museum_Singles_308.png</t>
  </si>
  <si>
    <t>Museum_Singles_309.png</t>
  </si>
  <si>
    <t>Museum_Singles_310.png</t>
  </si>
  <si>
    <t>Museum_Singles_311.png</t>
  </si>
  <si>
    <t>Museum_Singles_312.png</t>
  </si>
  <si>
    <t>Museum_Singles_313.png</t>
  </si>
  <si>
    <t>Museum_Singles_314.png</t>
  </si>
  <si>
    <t>Museum_Singles_315.png</t>
  </si>
  <si>
    <t>Museum_Singles_316.png</t>
  </si>
  <si>
    <t>Museum_Singles_317.png</t>
  </si>
  <si>
    <t>Museum_Singles_318.png</t>
  </si>
  <si>
    <t>Museum_Singles_319.png</t>
  </si>
  <si>
    <t>Museum_Singles_320.png</t>
  </si>
  <si>
    <t>Museum_Singles_321.png</t>
  </si>
  <si>
    <t>Museum_Singles_322.png</t>
  </si>
  <si>
    <t>Museum_Singles_323.png</t>
  </si>
  <si>
    <t>Museum_Singles_324.png</t>
  </si>
  <si>
    <t>Museum_Singles_325.png</t>
  </si>
  <si>
    <t>Museum_Singles_326.png</t>
  </si>
  <si>
    <t>Museum_Singles_327.png</t>
  </si>
  <si>
    <t>Museum_Singles_328.png</t>
  </si>
  <si>
    <t>Museum_Singles_329.png</t>
  </si>
  <si>
    <t>Museum_Singles_330.png</t>
  </si>
  <si>
    <t>Museum_Singles_331.png</t>
  </si>
  <si>
    <t>Museum_Singles_332.png</t>
  </si>
  <si>
    <t>Museum_Singles_333.png</t>
  </si>
  <si>
    <t>Museum_Singles_334.png</t>
  </si>
  <si>
    <t>Museum_Singles_335.png</t>
  </si>
  <si>
    <t>Museum_Singles_336.png</t>
  </si>
  <si>
    <t>Museum_Singles_337.png</t>
  </si>
  <si>
    <t>Museum_Singles_338.png</t>
  </si>
  <si>
    <t>Museum_Singles_339.png</t>
  </si>
  <si>
    <t>Museum_Singles_340.png</t>
  </si>
  <si>
    <t>Museum_Singles_341.png</t>
  </si>
  <si>
    <t>Museum_Singles_342.png</t>
  </si>
  <si>
    <t>Museum_Singles_343.png</t>
  </si>
  <si>
    <t>Museum_Singles_344.png</t>
  </si>
  <si>
    <t>Museum_Singles_345.png</t>
  </si>
  <si>
    <t>Museum_Singles_346.png</t>
  </si>
  <si>
    <t>Museum_Singles_347.png</t>
  </si>
  <si>
    <t>Museum_Singles_348.png</t>
  </si>
  <si>
    <t>Museum_Singles_349.png</t>
  </si>
  <si>
    <t>Museum_Singles_350.png</t>
  </si>
  <si>
    <t>Museum_Singles_351.png</t>
  </si>
  <si>
    <t>Museum_Singles_352.png</t>
  </si>
  <si>
    <t>Museum_Singles_353.png</t>
  </si>
  <si>
    <t>Museum_Singles_354.png</t>
  </si>
  <si>
    <t>Museum_Singles_355.png</t>
  </si>
  <si>
    <t>Museum_Singles_356.png</t>
  </si>
  <si>
    <t>Museum_Singles_357.png</t>
  </si>
  <si>
    <t>Museum_Singles_358.png</t>
  </si>
  <si>
    <t>Museum_Singles_359.png</t>
  </si>
  <si>
    <t>Museum_Singles_360.png</t>
  </si>
  <si>
    <t>Museum_Singles_361.png</t>
  </si>
  <si>
    <t>Museum_Singles_362.png</t>
  </si>
  <si>
    <t>Museum_Singles_363.png</t>
  </si>
  <si>
    <t>Museum_Singles_364.png</t>
  </si>
  <si>
    <t>Museum_Singles_365.png</t>
  </si>
  <si>
    <t>Museum_Singles_366.png</t>
  </si>
  <si>
    <t>Museum_Singles_367.png</t>
  </si>
  <si>
    <t>Museum_Singles_368.png</t>
  </si>
  <si>
    <t>Museum_Singles_369.png</t>
  </si>
  <si>
    <t>Museum_Singles_370.png</t>
  </si>
  <si>
    <t>Museum_Singles_371.png</t>
  </si>
  <si>
    <t>Museum_Singles_372.png</t>
  </si>
  <si>
    <t>Museum_Singles_373.png</t>
  </si>
  <si>
    <t>Museum_Singles_374.png</t>
  </si>
  <si>
    <t>Museum_Singles_375.png</t>
  </si>
  <si>
    <t>Museum_Singles_376.png</t>
  </si>
  <si>
    <t>Museum_Singles_377.png</t>
  </si>
  <si>
    <t>Museum_Singles_378.png</t>
  </si>
  <si>
    <t>Museum_Singles_379.png</t>
  </si>
  <si>
    <t>Museum_Singles_380.png</t>
  </si>
  <si>
    <t>Museum_Singles_381.png</t>
  </si>
  <si>
    <t>Museum_Singles_382.png</t>
  </si>
  <si>
    <t>Museum_Singles_383.png</t>
  </si>
  <si>
    <t>Museum_Singles_384.png</t>
  </si>
  <si>
    <t>Museum_Singles_385.png</t>
  </si>
  <si>
    <t>Museum_Singles_386.png</t>
  </si>
  <si>
    <t>Museum_Singles_387.png</t>
  </si>
  <si>
    <t>Museum_Singles_388.png</t>
  </si>
  <si>
    <t>Museum_Singles_389.png</t>
  </si>
  <si>
    <t>Museum_Singles_390.png</t>
  </si>
  <si>
    <t>Museum_Singles_391.png</t>
  </si>
  <si>
    <t>Museum_Singles_392.png</t>
  </si>
  <si>
    <t>Museum_Singles_393.png</t>
  </si>
  <si>
    <t>Museum_Singles_394.png</t>
  </si>
  <si>
    <t>Museum_Singles_395.png</t>
  </si>
  <si>
    <t>Museum_Singles_396.png</t>
  </si>
  <si>
    <t>Museum_Singles_397.png</t>
  </si>
  <si>
    <t>Museum_Singles_398.png</t>
  </si>
  <si>
    <t>Museum_Singles_399.png</t>
  </si>
  <si>
    <t>Museum_Singles_400.png</t>
  </si>
  <si>
    <t>Museum_Singles_401.png</t>
  </si>
  <si>
    <t>Museum_Singles_402.png</t>
  </si>
  <si>
    <t>Museum_Singles_403.png</t>
  </si>
  <si>
    <t>Museum_Singles_404.png</t>
  </si>
  <si>
    <t>Museum_Singles_405.png</t>
  </si>
  <si>
    <t>Museum_Singles_406.png</t>
  </si>
  <si>
    <t>Museum_Singles_407.png</t>
  </si>
  <si>
    <t>Museum_Singles_408.png</t>
  </si>
  <si>
    <t>Museum_Singles_409.png</t>
  </si>
  <si>
    <t>Museum_Singles_410.png</t>
  </si>
  <si>
    <t>Museum_Singles_411.png</t>
  </si>
  <si>
    <t>Museum_Singles_412.png</t>
  </si>
  <si>
    <t>Museum_Singles_413.png</t>
  </si>
  <si>
    <t>Museum_Singles_414.png</t>
  </si>
  <si>
    <t>Museum_Singles_415.png</t>
  </si>
  <si>
    <t>Museum_Singles_416.png</t>
  </si>
  <si>
    <t>Museum_Singles_417.png</t>
  </si>
  <si>
    <t>Museum_Singles_418.png</t>
  </si>
  <si>
    <t>Museum_Singles_419.png</t>
  </si>
  <si>
    <t>Museum_Singles_420.png</t>
  </si>
  <si>
    <t>Museum_Singles_421.png</t>
  </si>
  <si>
    <t>Museum_Singles_422.png</t>
  </si>
  <si>
    <t>Museum_Singles_423.png</t>
  </si>
  <si>
    <t>Museum_Singles_424.png</t>
  </si>
  <si>
    <t>Museum_Singles_425.png</t>
  </si>
  <si>
    <t>Museum_Singles_426.png</t>
  </si>
  <si>
    <t>Museum_Singles_427.png</t>
  </si>
  <si>
    <t>Museum_Singles_428.png</t>
  </si>
  <si>
    <t>Museum_Singles_429.png</t>
  </si>
  <si>
    <t>Museum_Singles_430.png</t>
  </si>
  <si>
    <t>Museum_Singles_431.png</t>
  </si>
  <si>
    <t>Museum_Singles_432.png</t>
  </si>
  <si>
    <t>Museum_Singles_433.png</t>
  </si>
  <si>
    <t>Museum_Singles_434.png</t>
  </si>
  <si>
    <t>Museum_Singles_435.png</t>
  </si>
  <si>
    <t>Museum_Singles_436.png</t>
  </si>
  <si>
    <t>Museum_Singles_437.png</t>
  </si>
  <si>
    <t>Museum_Singles_438.png</t>
  </si>
  <si>
    <t>Museum_Singles_439.png</t>
  </si>
  <si>
    <t>Museum_Singles_440.png</t>
  </si>
  <si>
    <t>Museum_Singles_441.png</t>
  </si>
  <si>
    <t>Museum_Singles_442.png</t>
  </si>
  <si>
    <t>Museum_Singles_443.png</t>
  </si>
  <si>
    <t>Museum_Singles_444.png</t>
  </si>
  <si>
    <t>Museum_Singles_445.png</t>
  </si>
  <si>
    <t>Museum_Singles_446.png</t>
  </si>
  <si>
    <t>Museum_Singles_447.png</t>
  </si>
  <si>
    <t>Museum_Singles_448.png</t>
  </si>
  <si>
    <t>Museum_Singles_449.png</t>
  </si>
  <si>
    <t>Museum_Singles_450.png</t>
  </si>
  <si>
    <t>Museum_Singles_451.png</t>
  </si>
  <si>
    <t>Television_and_FIlm_Studio_Singles_1.png</t>
  </si>
  <si>
    <t>Television_and_FIlm_Studio_Singles_2.png</t>
  </si>
  <si>
    <t>Television_and_FIlm_Studio_Singles_3.png</t>
  </si>
  <si>
    <t>Television_and_FIlm_Studio_Singles_4.png</t>
  </si>
  <si>
    <t>Television_and_FIlm_Studio_Singles_5.png</t>
  </si>
  <si>
    <t>Television_and_FIlm_Studio_Singles_6.png</t>
  </si>
  <si>
    <t>Television_and_FIlm_Studio_Singles_7.png</t>
  </si>
  <si>
    <t>Television_and_FIlm_Studio_Singles_8.png</t>
  </si>
  <si>
    <t>Television_and_FIlm_Studio_Singles_9.png</t>
  </si>
  <si>
    <t>Television_and_FIlm_Studio_Singles_10.png</t>
  </si>
  <si>
    <t>Television_and_FIlm_Studio_Singles_11.png</t>
  </si>
  <si>
    <t>Television_and_FIlm_Studio_Singles_12.png</t>
  </si>
  <si>
    <t>Television_and_FIlm_Studio_Singles_13.png</t>
  </si>
  <si>
    <t>Television_and_FIlm_Studio_Singles_14.png</t>
  </si>
  <si>
    <t>Television_and_FIlm_Studio_Singles_15.png</t>
  </si>
  <si>
    <t>Television_and_FIlm_Studio_Singles_16.png</t>
  </si>
  <si>
    <t>Television_and_FIlm_Studio_Singles_17.png</t>
  </si>
  <si>
    <t>Television_and_FIlm_Studio_Singles_18.png</t>
  </si>
  <si>
    <t>Television_and_FIlm_Studio_Singles_19.png</t>
  </si>
  <si>
    <t>Television_and_FIlm_Studio_Singles_20.png</t>
  </si>
  <si>
    <t>Television_and_FIlm_Studio_Singles_21.png</t>
  </si>
  <si>
    <t>Television_and_FIlm_Studio_Singles_22.png</t>
  </si>
  <si>
    <t>Television_and_FIlm_Studio_Singles_23.png</t>
  </si>
  <si>
    <t>Television_and_FIlm_Studio_Singles_24.png</t>
  </si>
  <si>
    <t>Television_and_FIlm_Studio_Singles_25.png</t>
  </si>
  <si>
    <t>Television_and_FIlm_Studio_Singles_26.png</t>
  </si>
  <si>
    <t>Television_and_FIlm_Studio_Singles_27.png</t>
  </si>
  <si>
    <t>Television_and_FIlm_Studio_Singles_28.png</t>
  </si>
  <si>
    <t>Television_and_FIlm_Studio_Singles_29.png</t>
  </si>
  <si>
    <t>Television_and_FIlm_Studio_Singles_30.png</t>
  </si>
  <si>
    <t>Television_and_FIlm_Studio_Singles_31.png</t>
  </si>
  <si>
    <t>Television_and_FIlm_Studio_Singles_32.png</t>
  </si>
  <si>
    <t>Television_and_FIlm_Studio_Singles_33.png</t>
  </si>
  <si>
    <t>Television_and_FIlm_Studio_Singles_34.png</t>
  </si>
  <si>
    <t>Television_and_FIlm_Studio_Singles_35.png</t>
  </si>
  <si>
    <t>Television_and_FIlm_Studio_Singles_36.png</t>
  </si>
  <si>
    <t>Television_and_FIlm_Studio_Singles_37.png</t>
  </si>
  <si>
    <t>Television_and_FIlm_Studio_Singles_38.png</t>
  </si>
  <si>
    <t>Television_and_FIlm_Studio_Singles_39.png</t>
  </si>
  <si>
    <t>Television_and_FIlm_Studio_Singles_40.png</t>
  </si>
  <si>
    <t>Television_and_FIlm_Studio_Singles_41.png</t>
  </si>
  <si>
    <t>Television_and_FIlm_Studio_Singles_42.png</t>
  </si>
  <si>
    <t>Television_and_FIlm_Studio_Singles_43.png</t>
  </si>
  <si>
    <t>Television_and_FIlm_Studio_Singles_44.png</t>
  </si>
  <si>
    <t>Television_and_FIlm_Studio_Singles_45.png</t>
  </si>
  <si>
    <t>Television_and_FIlm_Studio_Singles_46.png</t>
  </si>
  <si>
    <t>Television_and_FIlm_Studio_Singles_47.png</t>
  </si>
  <si>
    <t>Television_and_FIlm_Studio_Singles_48.png</t>
  </si>
  <si>
    <t>Television_and_FIlm_Studio_Singles_50.png</t>
  </si>
  <si>
    <t>Television_and_FIlm_Studio_Singles_51.png</t>
  </si>
  <si>
    <t>Television_and_FIlm_Studio_Singles_52.png</t>
  </si>
  <si>
    <t>Television_and_FIlm_Studio_Singles_53.png</t>
  </si>
  <si>
    <t>Television_and_FIlm_Studio_Singles_54.png</t>
  </si>
  <si>
    <t>Television_and_FIlm_Studio_Singles_55.png</t>
  </si>
  <si>
    <t>Television_and_FIlm_Studio_Singles_56.png</t>
  </si>
  <si>
    <t>Television_and_FIlm_Studio_Singles_57.png</t>
  </si>
  <si>
    <t>Television_and_FIlm_Studio_Singles_58.png</t>
  </si>
  <si>
    <t>Television_and_FIlm_Studio_Singles_59.png</t>
  </si>
  <si>
    <t>Television_and_FIlm_Studio_Singles_60.png</t>
  </si>
  <si>
    <t>Television_and_FIlm_Studio_Singles_61.png</t>
  </si>
  <si>
    <t>Television_and_FIlm_Studio_Singles_62.png</t>
  </si>
  <si>
    <t>Television_and_FIlm_Studio_Singles_63.png</t>
  </si>
  <si>
    <t>Television_and_FIlm_Studio_Singles_64.png</t>
  </si>
  <si>
    <t>Television_and_FIlm_Studio_Singles_65.png</t>
  </si>
  <si>
    <t>Television_and_FIlm_Studio_Singles_66.png</t>
  </si>
  <si>
    <t>Television_and_FIlm_Studio_Singles_67.png</t>
  </si>
  <si>
    <t>Television_and_FIlm_Studio_Singles_68.png</t>
  </si>
  <si>
    <t>Television_and_FIlm_Studio_Singles_69.png</t>
  </si>
  <si>
    <t>Television_and_FIlm_Studio_Singles_70.png</t>
  </si>
  <si>
    <t>Television_and_FIlm_Studio_Singles_71.png</t>
  </si>
  <si>
    <t>Television_and_FIlm_Studio_Singles_72.png</t>
  </si>
  <si>
    <t>Television_and_FIlm_Studio_Singles_73.png</t>
  </si>
  <si>
    <t>Television_and_FIlm_Studio_Singles_74.png</t>
  </si>
  <si>
    <t>Television_and_FIlm_Studio_Singles_75.png</t>
  </si>
  <si>
    <t>Television_and_FIlm_Studio_Singles_76.png</t>
  </si>
  <si>
    <t>Television_and_FIlm_Studio_Singles_77.png</t>
  </si>
  <si>
    <t>Television_and_FIlm_Studio_Singles_78.png</t>
  </si>
  <si>
    <t>Television_and_FIlm_Studio_Singles_79.png</t>
  </si>
  <si>
    <t>Television_and_FIlm_Studio_Singles_80.png</t>
  </si>
  <si>
    <t>Ice_Cream_Shop_Singles_1.png</t>
  </si>
  <si>
    <t>Ice_Cream_Shop_Singles_2.png</t>
  </si>
  <si>
    <t>Ice_Cream_Shop_Singles_3.png</t>
  </si>
  <si>
    <t>Ice_Cream_Shop_Singles_4.png</t>
  </si>
  <si>
    <t>Ice_Cream_Shop_Singles_5.png</t>
  </si>
  <si>
    <t>Ice_Cream_Shop_Singles_6.png</t>
  </si>
  <si>
    <t>Ice_Cream_Shop_Singles_7.png</t>
  </si>
  <si>
    <t>Ice_Cream_Shop_Singles_8.png</t>
  </si>
  <si>
    <t>Ice_Cream_Shop_Singles_9.png</t>
  </si>
  <si>
    <t>Ice_Cream_Shop_Singles_10.png</t>
  </si>
  <si>
    <t>Ice_Cream_Shop_Singles_11.png</t>
  </si>
  <si>
    <t>Ice_Cream_Shop_Singles_12.png</t>
  </si>
  <si>
    <t>Ice_Cream_Shop_Singles_13.png</t>
  </si>
  <si>
    <t>Ice_Cream_Shop_Singles_14.png</t>
  </si>
  <si>
    <t>Ice_Cream_Shop_Singles_15.png</t>
  </si>
  <si>
    <t>Ice_Cream_Shop_Singles_16.png</t>
  </si>
  <si>
    <t>Ice_Cream_Shop_Singles_17.png</t>
  </si>
  <si>
    <t>Ice_Cream_Shop_Singles_18.png</t>
  </si>
  <si>
    <t>Ice_Cream_Shop_Singles_19.png</t>
  </si>
  <si>
    <t>Ice_Cream_Shop_Singles_20.png</t>
  </si>
  <si>
    <t>Ice_Cream_Shop_Singles_21.png</t>
  </si>
  <si>
    <t>Ice_Cream_Shop_Singles_22.png</t>
  </si>
  <si>
    <t>Ice_Cream_Shop_Singles_23.png</t>
  </si>
  <si>
    <t>Ice_Cream_Shop_Singles_24.png</t>
  </si>
  <si>
    <t>Ice_Cream_Shop_Singles_25.png</t>
  </si>
  <si>
    <t>Ice_Cream_Shop_Singles_26.png</t>
  </si>
  <si>
    <t>Ice_Cream_Shop_Singles_27.png</t>
  </si>
  <si>
    <t>Ice_Cream_Shop_Singles_28.png</t>
  </si>
  <si>
    <t>Ice_Cream_Shop_Singles_29.png</t>
  </si>
  <si>
    <t>Ice_Cream_Shop_Singles_30.png</t>
  </si>
  <si>
    <t>Ice_Cream_Shop_Singles_31.png</t>
  </si>
  <si>
    <t>Ice_Cream_Shop_Singles_32.png</t>
  </si>
  <si>
    <t>Ice_Cream_Shop_Singles_33.png</t>
  </si>
  <si>
    <t>Ice_Cream_Shop_Singles_34.png</t>
  </si>
  <si>
    <t>Ice_Cream_Shop_Singles_35.png</t>
  </si>
  <si>
    <t>Ice_Cream_Shop_Singles_36.png</t>
  </si>
  <si>
    <t>Ice_Cream_Shop_Singles_37.png</t>
  </si>
  <si>
    <t>Ice_Cream_Shop_Singles_38.png</t>
  </si>
  <si>
    <t>Ice_Cream_Shop_Singles_39.png</t>
  </si>
  <si>
    <t>Ice_Cream_Shop_Singles_40.png</t>
  </si>
  <si>
    <t>Ice_Cream_Shop_Singles_41.png</t>
  </si>
  <si>
    <t>Ice_Cream_Shop_Singles_42.png</t>
  </si>
  <si>
    <t>Ice_Cream_Shop_Singles_43.png</t>
  </si>
  <si>
    <t>Ice_Cream_Shop_Singles_44.png</t>
  </si>
  <si>
    <t>Ice_Cream_Shop_Singles_45.png</t>
  </si>
  <si>
    <t>Ice_Cream_Shop_Singles_46.png</t>
  </si>
  <si>
    <t>Ice_Cream_Shop_Singles_47.png</t>
  </si>
  <si>
    <t>Ice_Cream_Shop_Singles_48.png</t>
  </si>
  <si>
    <t>Ice_Cream_Shop_Singles_49.png</t>
  </si>
  <si>
    <t>Ice_Cream_Shop_Singles_50.png</t>
  </si>
  <si>
    <t>Ice_Cream_Shop_Singles_51.png</t>
  </si>
  <si>
    <t>Ice_Cream_Shop_Singles_52.png</t>
  </si>
  <si>
    <t>Ice_Cream_Shop_Singles_53.png</t>
  </si>
  <si>
    <t>Ice_Cream_Shop_Singles_54.png</t>
  </si>
  <si>
    <t>Ice_Cream_Shop_Singles_55.png</t>
  </si>
  <si>
    <t>Ice_Cream_Shop_Singles_56.png</t>
  </si>
  <si>
    <t>Ice_Cream_Shop_Singles_57.png</t>
  </si>
  <si>
    <t>Ice_Cream_Shop_Singles_58.png</t>
  </si>
  <si>
    <t>Ice_Cream_Shop_Singles_59.png</t>
  </si>
  <si>
    <t>Ice_Cream_Shop_Singles_60.png</t>
  </si>
  <si>
    <t>Ice_Cream_Shop_Singles_61.png</t>
  </si>
  <si>
    <t>Ice_Cream_Shop_Singles_62.png</t>
  </si>
  <si>
    <t>Ice_Cream_Shop_Singles_63.png</t>
  </si>
  <si>
    <t>Ice_Cream_Shop_Singles_64.png</t>
  </si>
  <si>
    <t>Ice_Cream_Shop_Singles_65.png</t>
  </si>
  <si>
    <t>Ice_Cream_Shop_Singles_66.png</t>
  </si>
  <si>
    <t>Ice_Cream_Shop_Singles_67.png</t>
  </si>
  <si>
    <t>Ice_Cream_Shop_Singles_68.png</t>
  </si>
  <si>
    <t>Ice_Cream_Shop_Singles_69.png</t>
  </si>
  <si>
    <t>Ice_Cream_Shop_Singles_70.png</t>
  </si>
  <si>
    <t>Ice_Cream_Shop_Singles_71.png</t>
  </si>
  <si>
    <t>Ice_Cream_Shop_Singles_72.png</t>
  </si>
  <si>
    <t>Ice_Cream_Shop_Singles_73.png</t>
  </si>
  <si>
    <t>Ice_Cream_Shop_Singles_74.png</t>
  </si>
  <si>
    <t>Ice_Cream_Shop_Singles_75.png</t>
  </si>
  <si>
    <t>Ice_Cream_Shop_Singles_76.png</t>
  </si>
  <si>
    <t>Ice_Cream_Shop_Singles_77.png</t>
  </si>
  <si>
    <t>Ice_Cream_Shop_Singles_78.png</t>
  </si>
  <si>
    <t>Ice_Cream_Shop_Singles_79.png</t>
  </si>
  <si>
    <t>Ice_Cream_Shop_Singles_80.png</t>
  </si>
  <si>
    <t>Ice_Cream_Shop_Singles_81.png</t>
  </si>
  <si>
    <t>Ice_Cream_Shop_Singles_82.png</t>
  </si>
  <si>
    <t>Ice_Cream_Shop_Singles_83.png</t>
  </si>
  <si>
    <t>Ice_Cream_Shop_Singles_84.png</t>
  </si>
  <si>
    <t>Ice_Cream_Shop_Singles_85.png</t>
  </si>
  <si>
    <t>Ice_Cream_Shop_Singles_86.png</t>
  </si>
  <si>
    <t>Ice_Cream_Shop_Singles_87.png</t>
  </si>
  <si>
    <t>Ice_Cream_Shop_Singles_88.png</t>
  </si>
  <si>
    <t>Ice_Cream_Shop_Singles_89.png</t>
  </si>
  <si>
    <t>Ice_Cream_Shop_Singles_90.png</t>
  </si>
  <si>
    <t>Ice_Cream_Shop_Singles_91.png</t>
  </si>
  <si>
    <t>Ice_Cream_Shop_Singles_92.png</t>
  </si>
  <si>
    <t>Ice_Cream_Shop_Singles_93.png</t>
  </si>
  <si>
    <t>Ice_Cream_Shop_Singles_94.png</t>
  </si>
  <si>
    <t>Ice_Cream_Shop_Singles_95.png</t>
  </si>
  <si>
    <t>Ice_Cream_Shop_Singles_96.png</t>
  </si>
  <si>
    <t>Ice_Cream_Shop_Singles_97.png</t>
  </si>
  <si>
    <t>Ice_Cream_Shop_Singles_98.png</t>
  </si>
  <si>
    <t>Ice_Cream_Shop_Singles_99.png</t>
  </si>
  <si>
    <t>Ice_Cream_Shop_Singles_100.png</t>
  </si>
  <si>
    <t>Ice_Cream_Shop_Singles_101.png</t>
  </si>
  <si>
    <t>Ice_Cream_Shop_Singles_102.png</t>
  </si>
  <si>
    <t>Shooting_Range_Singles_01.png</t>
  </si>
  <si>
    <t>Shooting_Range_Singles_02.png</t>
  </si>
  <si>
    <t>Shooting_Range_Singles_03.png</t>
  </si>
  <si>
    <t>Shooting_Range_Singles_04.png</t>
  </si>
  <si>
    <t>Shooting_Range_Singles_05.png</t>
  </si>
  <si>
    <t>Shooting_Range_Singles_06.png</t>
  </si>
  <si>
    <t>Shooting_Range_Singles_07.png</t>
  </si>
  <si>
    <t>Shooting_Range_Singles_08.png</t>
  </si>
  <si>
    <t>Shooting_Range_Singles_09.png</t>
  </si>
  <si>
    <t>Shooting_Range_Singles_10.png</t>
  </si>
  <si>
    <t>Shooting_Range_Singles_11.png</t>
  </si>
  <si>
    <t>Shooting_Range_Singles_12.png</t>
  </si>
  <si>
    <t>Shooting_Range_Singles_13.png</t>
  </si>
  <si>
    <t>Shooting_Range_Singles_14.png</t>
  </si>
  <si>
    <t>Shooting_Range_Singles_15.png</t>
  </si>
  <si>
    <t>Shooting_Range_Singles_16.png</t>
  </si>
  <si>
    <t>Shooting_Range_Singles_17.png</t>
  </si>
  <si>
    <t>Shooting_Range_Singles_18.png</t>
  </si>
  <si>
    <t>Shooting_Range_Singles_19.png</t>
  </si>
  <si>
    <t>Shooting_Range_Singles_20.png</t>
  </si>
  <si>
    <t>Shooting_Range_Singles_21.png</t>
  </si>
  <si>
    <t>Shooting_Range_Singles_22.png</t>
  </si>
  <si>
    <t>Shooting_Range_Singles_23.png</t>
  </si>
  <si>
    <t>Shooting_Range_Singles_24.png</t>
  </si>
  <si>
    <t>Shooting_Range_Singles_25.png</t>
  </si>
  <si>
    <t>Shooting_Range_Singles_26.png</t>
  </si>
  <si>
    <t>Shooting_Range_Singles_27.png</t>
  </si>
  <si>
    <t>Shooting_Range_Singles_28.png</t>
  </si>
  <si>
    <t>Condominium_Singles_1.png</t>
  </si>
  <si>
    <t>Condominium_Singles_2.png</t>
  </si>
  <si>
    <t>Condominium_Singles_3.png</t>
  </si>
  <si>
    <t>Condominium_Singles_4.png</t>
  </si>
  <si>
    <t>Condominium_Singles_5.png</t>
  </si>
  <si>
    <t>Condominium_Singles_6.png</t>
  </si>
  <si>
    <t>Condominium_Singles_7.png</t>
  </si>
  <si>
    <t>Condominium_Singles_8.png</t>
  </si>
  <si>
    <t>Condominium_Singles_9.png</t>
  </si>
  <si>
    <t>Condominium_Singles_10.png</t>
  </si>
  <si>
    <t>Condominium_Singles_11.png</t>
  </si>
  <si>
    <t>Condominium_Singles_12.png</t>
  </si>
  <si>
    <t>Condominium_Singles_13.png</t>
  </si>
  <si>
    <t>Condominium_Singles_14.png</t>
  </si>
  <si>
    <t>Condominium_Singles_15.png</t>
  </si>
  <si>
    <t>Condominium_Singles_16.png</t>
  </si>
  <si>
    <t>Condominium_Singles_17.png</t>
  </si>
  <si>
    <t>Condominium_Singles_18.png</t>
  </si>
  <si>
    <t>Condominium_Singles_19.png</t>
  </si>
  <si>
    <t>Condominium_Singles_20.png</t>
  </si>
  <si>
    <t>Condominium_Singles_21.png</t>
  </si>
  <si>
    <t>Condominium_Singles_22.png</t>
  </si>
  <si>
    <t>Condominium_Singles_23.png</t>
  </si>
  <si>
    <t>Condominium_Singles_24.png</t>
  </si>
  <si>
    <t>Condominium_Singles_25.png</t>
  </si>
  <si>
    <t>Condominium_Singles_26.png</t>
  </si>
  <si>
    <t>Condominium_Singles_27.png</t>
  </si>
  <si>
    <t>Condominium_Singles_28.png</t>
  </si>
  <si>
    <t>Condominium_Singles_29.png</t>
  </si>
  <si>
    <t>Condominium_Singles_30.png</t>
  </si>
  <si>
    <t>Condominium_Singles_31.png</t>
  </si>
  <si>
    <t>Condominium_Singles_32.png</t>
  </si>
  <si>
    <t>Condominium_Singles_33.png</t>
  </si>
  <si>
    <t>Condominium_Singles_34.png</t>
  </si>
  <si>
    <t>Condominium_Singles_35.png</t>
  </si>
  <si>
    <t>Condominium_Singles_36.png</t>
  </si>
  <si>
    <t>Condominium_Singles_37.png</t>
  </si>
  <si>
    <t>Condominium_Singles_38.png</t>
  </si>
  <si>
    <t>Condominium_Singles_39.png</t>
  </si>
  <si>
    <t>Condominium_Singles_40.png</t>
  </si>
  <si>
    <t>Condominium_Singles_41.png</t>
  </si>
  <si>
    <t>Condominium_Singles_42.png</t>
  </si>
  <si>
    <t>Condominium_Singles_43.png</t>
  </si>
  <si>
    <t>Condominium_Singles_44.png</t>
  </si>
  <si>
    <t>Condominium_Singles_45.png</t>
  </si>
  <si>
    <t>Condominium_Singles_46.png</t>
  </si>
  <si>
    <t>Condominium_Singles_47.png</t>
  </si>
  <si>
    <t>Condominium_Singles_48.png</t>
  </si>
  <si>
    <t>Condominium_Singles_49.png</t>
  </si>
  <si>
    <t>Condominium_Singles_50.png</t>
  </si>
  <si>
    <t>Condominium_Singles_51.png</t>
  </si>
  <si>
    <t>Condominium_Singles_52.png</t>
  </si>
  <si>
    <t>Condominium_Singles_53.png</t>
  </si>
  <si>
    <t>Condominium_Singles_54.png</t>
  </si>
  <si>
    <t>Condominium_Singles_55.png</t>
  </si>
  <si>
    <t>Condominium_Singles_56.png</t>
  </si>
  <si>
    <t>Condominium_Singles_57.png</t>
  </si>
  <si>
    <t>Condominium_Singles_58.png</t>
  </si>
  <si>
    <t>Condominium_Singles_59.png</t>
  </si>
  <si>
    <t>Condominium_Singles_60.png</t>
  </si>
  <si>
    <t>Condominium_Singles_61.png</t>
  </si>
  <si>
    <t>Condominium_Singles_62.png</t>
  </si>
  <si>
    <t>Condominium_Singles_63.png</t>
  </si>
  <si>
    <t>Condominium_Singles_64.png</t>
  </si>
  <si>
    <t>Condominium_Singles_65.png</t>
  </si>
  <si>
    <t>Condominium_Singles_66.png</t>
  </si>
  <si>
    <t>Condominium_Singles_67.png</t>
  </si>
  <si>
    <t>Condominium_Singles_68.png</t>
  </si>
  <si>
    <t>Condominium_Singles_69.png</t>
  </si>
  <si>
    <t>Condominium_Singles_70.png</t>
  </si>
  <si>
    <t>Condominium_Singles_71.png</t>
  </si>
  <si>
    <t>Condominium_Singles_72.png</t>
  </si>
  <si>
    <t>Condominium_Singles_73.png</t>
  </si>
  <si>
    <t>Condominium_Singles_74.png</t>
  </si>
  <si>
    <t>Condominium_Singles_75.png</t>
  </si>
  <si>
    <t>Condominium_Singles_76.png</t>
  </si>
  <si>
    <t>Condominium_Singles_77.png</t>
  </si>
  <si>
    <t>Condominium_Singles_78.png</t>
  </si>
  <si>
    <t>Condominium_Singles_79.png</t>
  </si>
  <si>
    <t>Condominium_Singles_80.png</t>
  </si>
  <si>
    <t>Condominium_Singles_81.png</t>
  </si>
  <si>
    <t>Condominium_Singles_82.png</t>
  </si>
  <si>
    <t>Condominium_Singles_83.png</t>
  </si>
  <si>
    <t>Condominium_Singles_84.png</t>
  </si>
  <si>
    <t>Condominium_Singles_85.png</t>
  </si>
  <si>
    <t>Condominium_Singles_86.png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</si>
</sst>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164" xfId="0" applyBorder="1" applyFont="1" applyNumberFormat="1"/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8.86"/>
  </cols>
  <sheetData>
    <row r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tr">
        <f>IFERROR(__xludf.DUMMYFUNCTION("SPARKLINE(C2,{""charttype"",""bar"";""max"",1;""min"",0;""color1"",""green""})"),"")</f>
        <v/>
      </c>
      <c r="C2" s="7">
        <f t="shared" ref="C2:C25" si="1">COUNTA(INDIRECT("'"&amp;A2&amp;"'!C:C"))/COUNTA(INDIRECT("'"&amp;A2&amp;"'!A:A"))</f>
        <v>1</v>
      </c>
    </row>
    <row r="3">
      <c r="A3" s="8" t="s">
        <v>3</v>
      </c>
      <c r="B3" s="9" t="str">
        <f>IFERROR(__xludf.DUMMYFUNCTION("SPARKLINE(C3,{""charttype"",""bar"";""max"",1;""min"",0;""color1"",""green""})"),"")</f>
        <v/>
      </c>
      <c r="C3" s="10">
        <f t="shared" si="1"/>
        <v>1</v>
      </c>
    </row>
    <row r="4">
      <c r="A4" s="8" t="s">
        <v>4</v>
      </c>
      <c r="B4" s="9" t="str">
        <f>IFERROR(__xludf.DUMMYFUNCTION("SPARKLINE(C4,{""charttype"",""bar"";""max"",1;""min"",0;""color1"",""green""})"),"")</f>
        <v/>
      </c>
      <c r="C4" s="10">
        <f t="shared" si="1"/>
        <v>0.2472924188</v>
      </c>
    </row>
    <row r="5">
      <c r="A5" s="8" t="s">
        <v>5</v>
      </c>
      <c r="B5" s="9" t="str">
        <f>IFERROR(__xludf.DUMMYFUNCTION("SPARKLINE(C5,{""charttype"",""bar"";""max"",1;""min"",0;""color1"",""green""})"),"")</f>
        <v/>
      </c>
      <c r="C5" s="10">
        <f t="shared" si="1"/>
        <v>1</v>
      </c>
    </row>
    <row r="6">
      <c r="A6" s="8" t="s">
        <v>6</v>
      </c>
      <c r="B6" s="9" t="str">
        <f>IFERROR(__xludf.DUMMYFUNCTION("SPARKLINE(C6,{""charttype"",""bar"";""max"",1;""min"",0;""color1"",""green""})"),"")</f>
        <v/>
      </c>
      <c r="C6" s="10">
        <f t="shared" si="1"/>
        <v>0.8943089431</v>
      </c>
    </row>
    <row r="7">
      <c r="A7" s="8" t="s">
        <v>7</v>
      </c>
      <c r="B7" s="9" t="str">
        <f>IFERROR(__xludf.DUMMYFUNCTION("SPARKLINE(C7,{""charttype"",""bar"";""max"",1;""min"",0;""color1"",""green""})"),"")</f>
        <v/>
      </c>
      <c r="C7" s="10">
        <f t="shared" si="1"/>
        <v>1</v>
      </c>
    </row>
    <row r="8">
      <c r="A8" s="8" t="s">
        <v>8</v>
      </c>
      <c r="B8" s="9" t="str">
        <f>IFERROR(__xludf.DUMMYFUNCTION("SPARKLINE(C8,{""charttype"",""bar"";""max"",1;""min"",0;""color1"",""green""})"),"")</f>
        <v/>
      </c>
      <c r="C8" s="10">
        <f t="shared" si="1"/>
        <v>1</v>
      </c>
    </row>
    <row r="9">
      <c r="A9" s="8" t="s">
        <v>9</v>
      </c>
      <c r="B9" s="9" t="str">
        <f>IFERROR(__xludf.DUMMYFUNCTION("SPARKLINE(C9,{""charttype"",""bar"";""max"",1;""min"",0;""color1"",""green""})"),"")</f>
        <v/>
      </c>
      <c r="C9" s="10">
        <f t="shared" si="1"/>
        <v>0</v>
      </c>
    </row>
    <row r="10">
      <c r="A10" s="8" t="s">
        <v>10</v>
      </c>
      <c r="B10" s="9" t="str">
        <f>IFERROR(__xludf.DUMMYFUNCTION("SPARKLINE(C10,{""charttype"",""bar"";""max"",1;""min"",0;""color1"",""green""})"),"")</f>
        <v/>
      </c>
      <c r="C10" s="10">
        <f t="shared" si="1"/>
        <v>0</v>
      </c>
    </row>
    <row r="11">
      <c r="A11" s="8" t="s">
        <v>11</v>
      </c>
      <c r="B11" s="9" t="str">
        <f>IFERROR(__xludf.DUMMYFUNCTION("SPARKLINE(C11,{""charttype"",""bar"";""max"",1;""min"",0;""color1"",""green""})"),"")</f>
        <v/>
      </c>
      <c r="C11" s="10">
        <f t="shared" si="1"/>
        <v>0</v>
      </c>
    </row>
    <row r="12">
      <c r="A12" s="8" t="s">
        <v>12</v>
      </c>
      <c r="B12" s="9" t="str">
        <f>IFERROR(__xludf.DUMMYFUNCTION("SPARKLINE(C12,{""charttype"",""bar"";""max"",1;""min"",0;""color1"",""green""})"),"")</f>
        <v/>
      </c>
      <c r="C12" s="10">
        <f t="shared" si="1"/>
        <v>0</v>
      </c>
    </row>
    <row r="13">
      <c r="A13" s="8" t="s">
        <v>13</v>
      </c>
      <c r="B13" s="9" t="str">
        <f>IFERROR(__xludf.DUMMYFUNCTION("SPARKLINE(C13,{""charttype"",""bar"";""max"",1;""min"",0;""color1"",""green""})"),"")</f>
        <v/>
      </c>
      <c r="C13" s="10">
        <f t="shared" si="1"/>
        <v>0</v>
      </c>
    </row>
    <row r="14">
      <c r="A14" s="8" t="s">
        <v>14</v>
      </c>
      <c r="B14" s="9" t="str">
        <f>IFERROR(__xludf.DUMMYFUNCTION("SPARKLINE(C14,{""charttype"",""bar"";""max"",1;""min"",0;""color1"",""green""})"),"")</f>
        <v/>
      </c>
      <c r="C14" s="10">
        <f t="shared" si="1"/>
        <v>0</v>
      </c>
    </row>
    <row r="15">
      <c r="A15" s="8" t="s">
        <v>15</v>
      </c>
      <c r="B15" s="9" t="str">
        <f>IFERROR(__xludf.DUMMYFUNCTION("SPARKLINE(C15,{""charttype"",""bar"";""max"",1;""min"",0;""color1"",""green""})"),"")</f>
        <v/>
      </c>
      <c r="C15" s="10">
        <f t="shared" si="1"/>
        <v>0</v>
      </c>
    </row>
    <row r="16">
      <c r="A16" s="8" t="s">
        <v>16</v>
      </c>
      <c r="B16" s="9" t="str">
        <f>IFERROR(__xludf.DUMMYFUNCTION("SPARKLINE(C16,{""charttype"",""bar"";""max"",1;""min"",0;""color1"",""green""})"),"")</f>
        <v/>
      </c>
      <c r="C16" s="10">
        <f t="shared" si="1"/>
        <v>0.345603272</v>
      </c>
    </row>
    <row r="17">
      <c r="A17" s="8" t="s">
        <v>17</v>
      </c>
      <c r="B17" s="9" t="str">
        <f>IFERROR(__xludf.DUMMYFUNCTION("SPARKLINE(C17,{""charttype"",""bar"";""max"",1;""min"",0;""color1"",""green""})"),"")</f>
        <v/>
      </c>
      <c r="C17" s="10">
        <f t="shared" si="1"/>
        <v>0</v>
      </c>
    </row>
    <row r="18">
      <c r="A18" s="8" t="s">
        <v>18</v>
      </c>
      <c r="B18" s="9" t="str">
        <f>IFERROR(__xludf.DUMMYFUNCTION("SPARKLINE(C18,{""charttype"",""bar"";""max"",1;""min"",0;""color1"",""green""})"),"")</f>
        <v/>
      </c>
      <c r="C18" s="10">
        <f t="shared" si="1"/>
        <v>0</v>
      </c>
    </row>
    <row r="19">
      <c r="A19" s="8" t="s">
        <v>19</v>
      </c>
      <c r="B19" s="9" t="str">
        <f>IFERROR(__xludf.DUMMYFUNCTION("SPARKLINE(C19,{""charttype"",""bar"";""max"",1;""min"",0;""color1"",""green""})"),"")</f>
        <v/>
      </c>
      <c r="C19" s="10">
        <f t="shared" si="1"/>
        <v>0</v>
      </c>
    </row>
    <row r="20">
      <c r="A20" s="8" t="s">
        <v>20</v>
      </c>
      <c r="B20" s="9" t="str">
        <f>IFERROR(__xludf.DUMMYFUNCTION("SPARKLINE(C20,{""charttype"",""bar"";""max"",1;""min"",0;""color1"",""green""})"),"")</f>
        <v/>
      </c>
      <c r="C20" s="10">
        <f t="shared" si="1"/>
        <v>0</v>
      </c>
    </row>
    <row r="21">
      <c r="A21" s="8" t="s">
        <v>21</v>
      </c>
      <c r="B21" s="9" t="str">
        <f>IFERROR(__xludf.DUMMYFUNCTION("SPARKLINE(C21,{""charttype"",""bar"";""max"",1;""min"",0;""color1"",""green""})"),"")</f>
        <v/>
      </c>
      <c r="C21" s="10">
        <f t="shared" si="1"/>
        <v>0</v>
      </c>
    </row>
    <row r="22">
      <c r="A22" s="8" t="s">
        <v>22</v>
      </c>
      <c r="B22" s="9" t="str">
        <f>IFERROR(__xludf.DUMMYFUNCTION("SPARKLINE(C22,{""charttype"",""bar"";""max"",1;""min"",0;""color1"",""green""})"),"")</f>
        <v/>
      </c>
      <c r="C22" s="10">
        <f t="shared" si="1"/>
        <v>0</v>
      </c>
    </row>
    <row r="23">
      <c r="A23" s="8" t="s">
        <v>23</v>
      </c>
      <c r="B23" s="9" t="str">
        <f>IFERROR(__xludf.DUMMYFUNCTION("SPARKLINE(C23,{""charttype"",""bar"";""max"",1;""min"",0;""color1"",""green""})"),"")</f>
        <v/>
      </c>
      <c r="C23" s="10">
        <f t="shared" si="1"/>
        <v>0</v>
      </c>
    </row>
    <row r="24">
      <c r="A24" s="8" t="s">
        <v>24</v>
      </c>
      <c r="B24" s="9" t="str">
        <f>IFERROR(__xludf.DUMMYFUNCTION("SPARKLINE(C24,{""charttype"",""bar"";""max"",1;""min"",0;""color1"",""green""})"),"")</f>
        <v/>
      </c>
      <c r="C24" s="10">
        <f t="shared" si="1"/>
        <v>0</v>
      </c>
    </row>
    <row r="25">
      <c r="A25" s="11" t="s">
        <v>25</v>
      </c>
      <c r="B25" s="12" t="str">
        <f>IFERROR(__xludf.DUMMYFUNCTION("SPARKLINE(C25,{""charttype"",""bar"";""max"",1;""min"",0;""color1"",""green""})"),"")</f>
        <v/>
      </c>
      <c r="C25" s="13">
        <f t="shared" si="1"/>
        <v>0</v>
      </c>
    </row>
    <row r="26">
      <c r="A26" s="1" t="s">
        <v>26</v>
      </c>
      <c r="B26" s="4" t="str">
        <f>IFERROR(__xludf.DUMMYFUNCTION("SPARKLINE(C26,{""charttype"",""bar"";""max"",1;""min"",0;""color1"",""green""})"),"")</f>
        <v/>
      </c>
      <c r="C26" s="3">
        <f>AVERAGE(C2:C25)</f>
        <v>0.2703001931</v>
      </c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  <row r="103">
      <c r="C103" s="10"/>
    </row>
    <row r="104">
      <c r="C104" s="10"/>
    </row>
    <row r="105">
      <c r="C105" s="10"/>
    </row>
    <row r="106">
      <c r="C106" s="10"/>
    </row>
    <row r="107">
      <c r="C107" s="10"/>
    </row>
    <row r="108">
      <c r="C108" s="10"/>
    </row>
    <row r="109">
      <c r="C109" s="10"/>
    </row>
    <row r="110">
      <c r="C110" s="10"/>
    </row>
    <row r="111">
      <c r="C111" s="10"/>
    </row>
    <row r="112">
      <c r="C112" s="10"/>
    </row>
    <row r="113">
      <c r="C113" s="10"/>
    </row>
    <row r="114">
      <c r="C114" s="10"/>
    </row>
    <row r="115">
      <c r="C115" s="10"/>
    </row>
    <row r="116">
      <c r="C116" s="10"/>
    </row>
    <row r="117">
      <c r="C117" s="10"/>
    </row>
    <row r="118">
      <c r="C118" s="10"/>
    </row>
    <row r="119">
      <c r="C119" s="10"/>
    </row>
    <row r="120">
      <c r="C120" s="10"/>
    </row>
    <row r="121">
      <c r="C121" s="10"/>
    </row>
    <row r="122">
      <c r="C122" s="10"/>
    </row>
    <row r="123">
      <c r="C123" s="10"/>
    </row>
    <row r="124">
      <c r="C124" s="10"/>
    </row>
    <row r="125">
      <c r="C125" s="10"/>
    </row>
    <row r="126">
      <c r="C126" s="10"/>
    </row>
    <row r="127">
      <c r="C127" s="10"/>
    </row>
    <row r="128">
      <c r="C128" s="10"/>
    </row>
    <row r="129">
      <c r="C129" s="10"/>
    </row>
    <row r="130">
      <c r="C130" s="10"/>
    </row>
    <row r="131">
      <c r="C131" s="10"/>
    </row>
    <row r="132">
      <c r="C132" s="10"/>
    </row>
    <row r="133">
      <c r="C133" s="10"/>
    </row>
    <row r="134">
      <c r="C134" s="10"/>
    </row>
    <row r="135">
      <c r="C135" s="10"/>
    </row>
    <row r="136">
      <c r="C136" s="10"/>
    </row>
    <row r="137">
      <c r="C137" s="10"/>
    </row>
    <row r="138">
      <c r="C138" s="10"/>
    </row>
    <row r="139">
      <c r="C139" s="10"/>
    </row>
    <row r="140">
      <c r="C140" s="10"/>
    </row>
    <row r="141">
      <c r="C141" s="10"/>
    </row>
    <row r="142">
      <c r="C142" s="10"/>
    </row>
    <row r="143">
      <c r="C143" s="10"/>
    </row>
    <row r="144">
      <c r="C144" s="10"/>
    </row>
    <row r="145">
      <c r="C145" s="10"/>
    </row>
    <row r="146">
      <c r="C146" s="10"/>
    </row>
    <row r="147">
      <c r="C147" s="10"/>
    </row>
    <row r="148">
      <c r="C148" s="10"/>
    </row>
    <row r="149">
      <c r="C149" s="10"/>
    </row>
    <row r="150">
      <c r="C150" s="10"/>
    </row>
    <row r="151">
      <c r="C151" s="10"/>
    </row>
    <row r="152">
      <c r="C152" s="10"/>
    </row>
    <row r="153">
      <c r="C153" s="10"/>
    </row>
    <row r="154">
      <c r="C154" s="10"/>
    </row>
    <row r="155">
      <c r="C155" s="10"/>
    </row>
    <row r="156">
      <c r="C156" s="10"/>
    </row>
    <row r="157">
      <c r="C157" s="10"/>
    </row>
    <row r="158">
      <c r="C158" s="10"/>
    </row>
    <row r="159">
      <c r="C159" s="10"/>
    </row>
    <row r="160">
      <c r="C160" s="10"/>
    </row>
    <row r="161">
      <c r="C161" s="10"/>
    </row>
    <row r="162">
      <c r="C162" s="10"/>
    </row>
    <row r="163">
      <c r="C163" s="10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0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0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0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0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/>
    </row>
    <row r="662">
      <c r="C662" s="10"/>
    </row>
    <row r="663">
      <c r="C663" s="10"/>
    </row>
    <row r="664">
      <c r="C664" s="10"/>
    </row>
    <row r="665">
      <c r="C665" s="10"/>
    </row>
    <row r="666">
      <c r="C666" s="10"/>
    </row>
    <row r="667">
      <c r="C667" s="10"/>
    </row>
    <row r="668">
      <c r="C668" s="10"/>
    </row>
    <row r="669">
      <c r="C669" s="10"/>
    </row>
    <row r="670">
      <c r="C670" s="10"/>
    </row>
    <row r="671">
      <c r="C671" s="10"/>
    </row>
    <row r="672">
      <c r="C672" s="10"/>
    </row>
    <row r="673">
      <c r="C673" s="10"/>
    </row>
    <row r="674">
      <c r="C674" s="10"/>
    </row>
    <row r="675">
      <c r="C675" s="10"/>
    </row>
    <row r="676">
      <c r="C676" s="10"/>
    </row>
    <row r="677">
      <c r="C677" s="10"/>
    </row>
    <row r="678">
      <c r="C678" s="10"/>
    </row>
    <row r="679">
      <c r="C679" s="10"/>
    </row>
    <row r="680">
      <c r="C680" s="10"/>
    </row>
    <row r="681">
      <c r="C681" s="10"/>
    </row>
    <row r="682">
      <c r="C682" s="10"/>
    </row>
    <row r="683">
      <c r="C683" s="10"/>
    </row>
    <row r="684">
      <c r="C684" s="10"/>
    </row>
    <row r="685">
      <c r="C685" s="10"/>
    </row>
    <row r="686">
      <c r="C686" s="10"/>
    </row>
    <row r="687">
      <c r="C687" s="10"/>
    </row>
    <row r="688">
      <c r="C688" s="10"/>
    </row>
    <row r="689">
      <c r="C689" s="10"/>
    </row>
    <row r="690">
      <c r="C690" s="10"/>
    </row>
    <row r="691">
      <c r="C691" s="10"/>
    </row>
    <row r="692">
      <c r="C692" s="10"/>
    </row>
    <row r="693">
      <c r="C693" s="10"/>
    </row>
    <row r="694">
      <c r="C694" s="10"/>
    </row>
    <row r="695">
      <c r="C695" s="10"/>
    </row>
    <row r="696">
      <c r="C696" s="10"/>
    </row>
    <row r="697">
      <c r="C697" s="10"/>
    </row>
    <row r="698">
      <c r="C698" s="10"/>
    </row>
    <row r="699">
      <c r="C699" s="10"/>
    </row>
    <row r="700">
      <c r="C700" s="10"/>
    </row>
    <row r="701">
      <c r="C701" s="10"/>
    </row>
    <row r="702">
      <c r="C702" s="10"/>
    </row>
    <row r="703">
      <c r="C703" s="10"/>
    </row>
    <row r="704">
      <c r="C704" s="10"/>
    </row>
    <row r="705">
      <c r="C705" s="10"/>
    </row>
    <row r="706">
      <c r="C706" s="10"/>
    </row>
    <row r="707">
      <c r="C707" s="10"/>
    </row>
    <row r="708">
      <c r="C708" s="10"/>
    </row>
    <row r="709">
      <c r="C709" s="10"/>
    </row>
    <row r="710">
      <c r="C710" s="10"/>
    </row>
    <row r="711">
      <c r="C711" s="10"/>
    </row>
    <row r="712">
      <c r="C712" s="10"/>
    </row>
    <row r="713">
      <c r="C713" s="10"/>
    </row>
    <row r="714">
      <c r="C714" s="10"/>
    </row>
    <row r="715">
      <c r="C715" s="10"/>
    </row>
    <row r="716">
      <c r="C716" s="10"/>
    </row>
    <row r="717">
      <c r="C717" s="10"/>
    </row>
    <row r="718">
      <c r="C718" s="10"/>
    </row>
    <row r="719">
      <c r="C719" s="10"/>
    </row>
    <row r="720">
      <c r="C720" s="10"/>
    </row>
    <row r="721">
      <c r="C721" s="10"/>
    </row>
    <row r="722">
      <c r="C722" s="10"/>
    </row>
    <row r="723">
      <c r="C723" s="10"/>
    </row>
    <row r="724">
      <c r="C724" s="10"/>
    </row>
    <row r="725">
      <c r="C725" s="10"/>
    </row>
    <row r="726">
      <c r="C726" s="10"/>
    </row>
    <row r="727">
      <c r="C727" s="10"/>
    </row>
    <row r="728">
      <c r="C728" s="10"/>
    </row>
    <row r="729">
      <c r="C729" s="10"/>
    </row>
    <row r="730">
      <c r="C730" s="10"/>
    </row>
    <row r="731">
      <c r="C731" s="10"/>
    </row>
    <row r="732">
      <c r="C732" s="10"/>
    </row>
    <row r="733">
      <c r="C733" s="10"/>
    </row>
    <row r="734">
      <c r="C734" s="10"/>
    </row>
    <row r="735">
      <c r="C735" s="10"/>
    </row>
    <row r="736">
      <c r="C736" s="10"/>
    </row>
    <row r="737">
      <c r="C737" s="10"/>
    </row>
    <row r="738">
      <c r="C738" s="10"/>
    </row>
    <row r="739">
      <c r="C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  <row r="776">
      <c r="C776" s="10"/>
    </row>
    <row r="777">
      <c r="C777" s="10"/>
    </row>
    <row r="778">
      <c r="C778" s="10"/>
    </row>
    <row r="779">
      <c r="C779" s="10"/>
    </row>
    <row r="780">
      <c r="C780" s="10"/>
    </row>
    <row r="781">
      <c r="C781" s="10"/>
    </row>
    <row r="782">
      <c r="C782" s="10"/>
    </row>
    <row r="783">
      <c r="C783" s="10"/>
    </row>
    <row r="784">
      <c r="C784" s="10"/>
    </row>
    <row r="785">
      <c r="C785" s="10"/>
    </row>
    <row r="786">
      <c r="C786" s="10"/>
    </row>
    <row r="787">
      <c r="C787" s="10"/>
    </row>
    <row r="788">
      <c r="C788" s="10"/>
    </row>
    <row r="789">
      <c r="C789" s="10"/>
    </row>
    <row r="790">
      <c r="C790" s="10"/>
    </row>
    <row r="791">
      <c r="C791" s="10"/>
    </row>
    <row r="792">
      <c r="C792" s="10"/>
    </row>
    <row r="793">
      <c r="C793" s="10"/>
    </row>
    <row r="794">
      <c r="C794" s="10"/>
    </row>
    <row r="795">
      <c r="C795" s="10"/>
    </row>
    <row r="796">
      <c r="C796" s="10"/>
    </row>
    <row r="797">
      <c r="C797" s="10"/>
    </row>
    <row r="798">
      <c r="C798" s="10"/>
    </row>
    <row r="799">
      <c r="C799" s="10"/>
    </row>
    <row r="800">
      <c r="C800" s="10"/>
    </row>
    <row r="801">
      <c r="C801" s="10"/>
    </row>
    <row r="802">
      <c r="C802" s="10"/>
    </row>
    <row r="803">
      <c r="C803" s="10"/>
    </row>
    <row r="804">
      <c r="C804" s="10"/>
    </row>
    <row r="805">
      <c r="C805" s="10"/>
    </row>
    <row r="806">
      <c r="C806" s="10"/>
    </row>
    <row r="807">
      <c r="C807" s="10"/>
    </row>
    <row r="808">
      <c r="C808" s="10"/>
    </row>
    <row r="809">
      <c r="C809" s="10"/>
    </row>
    <row r="810">
      <c r="C810" s="10"/>
    </row>
    <row r="811">
      <c r="C811" s="10"/>
    </row>
    <row r="812">
      <c r="C812" s="10"/>
    </row>
    <row r="813">
      <c r="C813" s="10"/>
    </row>
    <row r="814">
      <c r="C814" s="10"/>
    </row>
    <row r="815">
      <c r="C815" s="10"/>
    </row>
    <row r="816">
      <c r="C816" s="10"/>
    </row>
    <row r="817">
      <c r="C817" s="10"/>
    </row>
    <row r="818">
      <c r="C818" s="10"/>
    </row>
    <row r="819">
      <c r="C819" s="10"/>
    </row>
    <row r="820">
      <c r="C820" s="10"/>
    </row>
    <row r="821">
      <c r="C821" s="10"/>
    </row>
    <row r="822">
      <c r="C822" s="10"/>
    </row>
    <row r="823">
      <c r="C823" s="10"/>
    </row>
    <row r="824">
      <c r="C824" s="10"/>
    </row>
    <row r="825">
      <c r="C825" s="10"/>
    </row>
    <row r="826">
      <c r="C826" s="10"/>
    </row>
    <row r="827">
      <c r="C827" s="10"/>
    </row>
    <row r="828">
      <c r="C828" s="10"/>
    </row>
    <row r="829">
      <c r="C829" s="10"/>
    </row>
    <row r="830">
      <c r="C830" s="10"/>
    </row>
    <row r="831">
      <c r="C831" s="10"/>
    </row>
    <row r="832">
      <c r="C832" s="10"/>
    </row>
    <row r="833">
      <c r="C833" s="10"/>
    </row>
    <row r="834">
      <c r="C834" s="10"/>
    </row>
    <row r="835">
      <c r="C835" s="10"/>
    </row>
    <row r="836">
      <c r="C836" s="10"/>
    </row>
    <row r="837">
      <c r="C837" s="10"/>
    </row>
    <row r="838">
      <c r="C838" s="10"/>
    </row>
    <row r="839">
      <c r="C839" s="10"/>
    </row>
    <row r="840">
      <c r="C840" s="10"/>
    </row>
    <row r="841">
      <c r="C841" s="10"/>
    </row>
    <row r="842">
      <c r="C842" s="10"/>
    </row>
    <row r="843">
      <c r="C843" s="10"/>
    </row>
    <row r="844">
      <c r="C844" s="10"/>
    </row>
    <row r="845">
      <c r="C845" s="10"/>
    </row>
    <row r="846">
      <c r="C846" s="10"/>
    </row>
    <row r="847">
      <c r="C847" s="10"/>
    </row>
    <row r="848">
      <c r="C848" s="10"/>
    </row>
    <row r="849">
      <c r="C849" s="10"/>
    </row>
    <row r="850">
      <c r="C850" s="10"/>
    </row>
    <row r="851">
      <c r="C851" s="10"/>
    </row>
    <row r="852">
      <c r="C852" s="10"/>
    </row>
    <row r="853">
      <c r="C853" s="10"/>
    </row>
    <row r="854">
      <c r="C854" s="10"/>
    </row>
    <row r="855">
      <c r="C855" s="10"/>
    </row>
    <row r="856">
      <c r="C856" s="10"/>
    </row>
    <row r="857">
      <c r="C857" s="10"/>
    </row>
    <row r="858">
      <c r="C858" s="10"/>
    </row>
    <row r="859">
      <c r="C859" s="10"/>
    </row>
    <row r="860">
      <c r="C860" s="10"/>
    </row>
    <row r="861">
      <c r="C861" s="10"/>
    </row>
    <row r="862">
      <c r="C862" s="10"/>
    </row>
    <row r="863">
      <c r="C863" s="10"/>
    </row>
    <row r="864">
      <c r="C864" s="10"/>
    </row>
    <row r="865">
      <c r="C865" s="10"/>
    </row>
    <row r="866">
      <c r="C866" s="10"/>
    </row>
    <row r="867">
      <c r="C867" s="10"/>
    </row>
    <row r="868">
      <c r="C868" s="10"/>
    </row>
    <row r="869">
      <c r="C869" s="10"/>
    </row>
    <row r="870">
      <c r="C870" s="10"/>
    </row>
    <row r="871">
      <c r="C871" s="10"/>
    </row>
    <row r="872">
      <c r="C872" s="10"/>
    </row>
    <row r="873">
      <c r="C873" s="10"/>
    </row>
    <row r="874">
      <c r="C874" s="10"/>
    </row>
    <row r="875">
      <c r="C875" s="10"/>
    </row>
    <row r="876">
      <c r="C876" s="10"/>
    </row>
    <row r="877">
      <c r="C877" s="10"/>
    </row>
    <row r="878">
      <c r="C878" s="10"/>
    </row>
    <row r="879">
      <c r="C879" s="10"/>
    </row>
    <row r="880">
      <c r="C880" s="10"/>
    </row>
    <row r="881">
      <c r="C881" s="10"/>
    </row>
    <row r="882">
      <c r="C882" s="10"/>
    </row>
    <row r="883">
      <c r="C883" s="10"/>
    </row>
    <row r="884">
      <c r="C884" s="10"/>
    </row>
    <row r="885">
      <c r="C885" s="10"/>
    </row>
    <row r="886">
      <c r="C886" s="10"/>
    </row>
    <row r="887">
      <c r="C887" s="10"/>
    </row>
    <row r="888">
      <c r="C888" s="10"/>
    </row>
    <row r="889">
      <c r="C889" s="10"/>
    </row>
    <row r="890">
      <c r="C890" s="10"/>
    </row>
    <row r="891">
      <c r="C891" s="10"/>
    </row>
    <row r="892">
      <c r="C892" s="10"/>
    </row>
    <row r="893">
      <c r="C893" s="10"/>
    </row>
    <row r="894">
      <c r="C894" s="10"/>
    </row>
    <row r="895">
      <c r="C895" s="10"/>
    </row>
    <row r="896">
      <c r="C896" s="10"/>
    </row>
    <row r="897">
      <c r="C897" s="10"/>
    </row>
    <row r="898">
      <c r="C898" s="10"/>
    </row>
    <row r="899">
      <c r="C899" s="10"/>
    </row>
    <row r="900">
      <c r="C900" s="10"/>
    </row>
    <row r="901">
      <c r="C901" s="10"/>
    </row>
    <row r="902">
      <c r="C902" s="10"/>
    </row>
    <row r="903">
      <c r="C903" s="10"/>
    </row>
    <row r="904">
      <c r="C904" s="10"/>
    </row>
    <row r="905">
      <c r="C905" s="10"/>
    </row>
    <row r="906">
      <c r="C906" s="10"/>
    </row>
    <row r="907">
      <c r="C907" s="10"/>
    </row>
    <row r="908">
      <c r="C908" s="10"/>
    </row>
    <row r="909">
      <c r="C909" s="10"/>
    </row>
    <row r="910">
      <c r="C910" s="10"/>
    </row>
    <row r="911">
      <c r="C911" s="10"/>
    </row>
    <row r="912">
      <c r="C912" s="10"/>
    </row>
    <row r="913">
      <c r="C913" s="10"/>
    </row>
    <row r="914">
      <c r="C914" s="10"/>
    </row>
    <row r="915">
      <c r="C915" s="10"/>
    </row>
    <row r="916">
      <c r="C916" s="10"/>
    </row>
    <row r="917">
      <c r="C917" s="10"/>
    </row>
    <row r="918">
      <c r="C918" s="10"/>
    </row>
    <row r="919">
      <c r="C919" s="10"/>
    </row>
    <row r="920">
      <c r="C920" s="10"/>
    </row>
    <row r="921">
      <c r="C921" s="10"/>
    </row>
    <row r="922">
      <c r="C922" s="10"/>
    </row>
    <row r="923">
      <c r="C923" s="10"/>
    </row>
    <row r="924">
      <c r="C924" s="10"/>
    </row>
    <row r="925">
      <c r="C925" s="10"/>
    </row>
    <row r="926">
      <c r="C926" s="10"/>
    </row>
    <row r="927">
      <c r="C927" s="10"/>
    </row>
    <row r="928">
      <c r="C928" s="10"/>
    </row>
    <row r="929">
      <c r="C929" s="10"/>
    </row>
    <row r="930">
      <c r="C930" s="10"/>
    </row>
    <row r="931">
      <c r="C931" s="10"/>
    </row>
    <row r="932">
      <c r="C932" s="10"/>
    </row>
    <row r="933">
      <c r="C933" s="10"/>
    </row>
    <row r="934">
      <c r="C934" s="10"/>
    </row>
    <row r="935">
      <c r="C935" s="10"/>
    </row>
    <row r="936">
      <c r="C936" s="10"/>
    </row>
    <row r="937">
      <c r="C937" s="10"/>
    </row>
    <row r="938">
      <c r="C938" s="10"/>
    </row>
    <row r="939">
      <c r="C939" s="10"/>
    </row>
    <row r="940">
      <c r="C940" s="10"/>
    </row>
    <row r="941">
      <c r="C941" s="10"/>
    </row>
    <row r="942">
      <c r="C942" s="10"/>
    </row>
    <row r="943">
      <c r="C943" s="10"/>
    </row>
    <row r="944">
      <c r="C944" s="10"/>
    </row>
    <row r="945">
      <c r="C945" s="10"/>
    </row>
    <row r="946">
      <c r="C946" s="10"/>
    </row>
    <row r="947">
      <c r="C947" s="10"/>
    </row>
    <row r="948">
      <c r="C948" s="10"/>
    </row>
    <row r="949">
      <c r="C949" s="10"/>
    </row>
    <row r="950">
      <c r="C950" s="10"/>
    </row>
    <row r="951">
      <c r="C951" s="10"/>
    </row>
    <row r="952">
      <c r="C952" s="10"/>
    </row>
    <row r="953">
      <c r="C953" s="10"/>
    </row>
    <row r="954">
      <c r="C954" s="10"/>
    </row>
    <row r="955">
      <c r="C955" s="10"/>
    </row>
    <row r="956">
      <c r="C956" s="10"/>
    </row>
    <row r="957">
      <c r="C957" s="10"/>
    </row>
    <row r="958">
      <c r="C958" s="10"/>
    </row>
    <row r="959">
      <c r="C959" s="10"/>
    </row>
    <row r="960">
      <c r="C960" s="10"/>
    </row>
    <row r="961">
      <c r="C961" s="10"/>
    </row>
    <row r="962">
      <c r="C962" s="10"/>
    </row>
    <row r="963">
      <c r="C963" s="10"/>
    </row>
    <row r="964">
      <c r="C964" s="10"/>
    </row>
    <row r="965">
      <c r="C965" s="10"/>
    </row>
    <row r="966">
      <c r="C966" s="10"/>
    </row>
    <row r="967">
      <c r="C967" s="10"/>
    </row>
    <row r="968">
      <c r="C968" s="10"/>
    </row>
    <row r="969">
      <c r="C969" s="10"/>
    </row>
    <row r="970">
      <c r="C970" s="10"/>
    </row>
    <row r="971">
      <c r="C971" s="10"/>
    </row>
    <row r="972">
      <c r="C972" s="10"/>
    </row>
    <row r="973">
      <c r="C973" s="10"/>
    </row>
    <row r="974">
      <c r="C974" s="10"/>
    </row>
    <row r="975">
      <c r="C975" s="10"/>
    </row>
    <row r="976">
      <c r="C976" s="10"/>
    </row>
    <row r="977">
      <c r="C977" s="10"/>
    </row>
    <row r="978">
      <c r="C978" s="10"/>
    </row>
    <row r="979">
      <c r="C979" s="10"/>
    </row>
    <row r="980">
      <c r="C980" s="10"/>
    </row>
    <row r="981">
      <c r="C981" s="10"/>
    </row>
    <row r="982">
      <c r="C982" s="10"/>
    </row>
    <row r="983">
      <c r="C983" s="10"/>
    </row>
    <row r="984">
      <c r="C984" s="10"/>
    </row>
    <row r="985">
      <c r="C985" s="10"/>
    </row>
    <row r="986">
      <c r="C986" s="10"/>
    </row>
    <row r="987">
      <c r="C987" s="10"/>
    </row>
    <row r="988">
      <c r="C988" s="10"/>
    </row>
    <row r="989">
      <c r="C989" s="10"/>
    </row>
    <row r="990">
      <c r="C990" s="10"/>
    </row>
    <row r="991">
      <c r="C991" s="10"/>
    </row>
    <row r="992">
      <c r="C992" s="10"/>
    </row>
    <row r="993">
      <c r="C993" s="10"/>
    </row>
    <row r="994">
      <c r="C994" s="10"/>
    </row>
    <row r="995">
      <c r="C995" s="10"/>
    </row>
    <row r="996">
      <c r="C996" s="10"/>
    </row>
    <row r="997">
      <c r="C997" s="10"/>
    </row>
    <row r="998">
      <c r="C998" s="10"/>
    </row>
    <row r="999">
      <c r="C999" s="10"/>
    </row>
    <row r="1000">
      <c r="C1000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8.71"/>
    <col customWidth="1" min="3" max="3" width="104.14"/>
  </cols>
  <sheetData>
    <row r="1" ht="36.75" customHeight="1">
      <c r="A1" s="16" t="s">
        <v>1911</v>
      </c>
      <c r="B1" s="16" t="str">
        <f>IMAGE("https://lmztiles.s3.eu-west-1.amazonaws.com/Modern_Interiors_v41.3.4/1_Interiors/16x16/Theme_Sorter_Singles/10_Birthday_Party_Singles/Birthday_Party_Singles_1.png")</f>
        <v/>
      </c>
    </row>
    <row r="2" ht="36.75" customHeight="1">
      <c r="A2" s="16" t="s">
        <v>1912</v>
      </c>
      <c r="B2" s="16" t="str">
        <f>IMAGE("https://lmztiles.s3.eu-west-1.amazonaws.com/Modern_Interiors_v41.3.4/1_Interiors/16x16/Theme_Sorter_Singles/10_Birthday_Party_Singles/Birthday_Party_Singles_2.png")</f>
        <v/>
      </c>
    </row>
    <row r="3" ht="36.75" customHeight="1">
      <c r="A3" s="16" t="s">
        <v>1913</v>
      </c>
      <c r="B3" s="16" t="str">
        <f>IMAGE("https://lmztiles.s3.eu-west-1.amazonaws.com/Modern_Interiors_v41.3.4/1_Interiors/16x16/Theme_Sorter_Singles/10_Birthday_Party_Singles/Birthday_Party_Singles_3.png")</f>
        <v/>
      </c>
    </row>
    <row r="4" ht="36.75" customHeight="1">
      <c r="A4" s="16" t="s">
        <v>1914</v>
      </c>
      <c r="B4" s="16" t="str">
        <f>IMAGE("https://lmztiles.s3.eu-west-1.amazonaws.com/Modern_Interiors_v41.3.4/1_Interiors/16x16/Theme_Sorter_Singles/10_Birthday_Party_Singles/Birthday_Party_Singles_4.png")</f>
        <v/>
      </c>
    </row>
    <row r="5" ht="36.75" customHeight="1">
      <c r="A5" s="16" t="s">
        <v>1915</v>
      </c>
      <c r="B5" s="16" t="str">
        <f>IMAGE("https://lmztiles.s3.eu-west-1.amazonaws.com/Modern_Interiors_v41.3.4/1_Interiors/16x16/Theme_Sorter_Singles/10_Birthday_Party_Singles/Birthday_Party_Singles_5.png")</f>
        <v/>
      </c>
    </row>
    <row r="6" ht="36.75" customHeight="1">
      <c r="A6" s="16" t="s">
        <v>1916</v>
      </c>
      <c r="B6" s="16" t="str">
        <f>IMAGE("https://lmztiles.s3.eu-west-1.amazonaws.com/Modern_Interiors_v41.3.4/1_Interiors/16x16/Theme_Sorter_Singles/10_Birthday_Party_Singles/Birthday_Party_Singles_6.png")</f>
        <v/>
      </c>
    </row>
    <row r="7" ht="36.75" customHeight="1">
      <c r="A7" s="16" t="s">
        <v>1917</v>
      </c>
      <c r="B7" s="16" t="str">
        <f>IMAGE("https://lmztiles.s3.eu-west-1.amazonaws.com/Modern_Interiors_v41.3.4/1_Interiors/16x16/Theme_Sorter_Singles/10_Birthday_Party_Singles/Birthday_Party_Singles_7.png")</f>
        <v/>
      </c>
    </row>
    <row r="8" ht="36.75" customHeight="1">
      <c r="A8" s="16" t="s">
        <v>1918</v>
      </c>
      <c r="B8" s="16" t="str">
        <f>IMAGE("https://lmztiles.s3.eu-west-1.amazonaws.com/Modern_Interiors_v41.3.4/1_Interiors/16x16/Theme_Sorter_Singles/10_Birthday_Party_Singles/Birthday_Party_Singles_8.png")</f>
        <v/>
      </c>
    </row>
    <row r="9" ht="36.75" customHeight="1">
      <c r="A9" s="16" t="s">
        <v>1919</v>
      </c>
      <c r="B9" s="16" t="str">
        <f>IMAGE("https://lmztiles.s3.eu-west-1.amazonaws.com/Modern_Interiors_v41.3.4/1_Interiors/16x16/Theme_Sorter_Singles/10_Birthday_Party_Singles/Birthday_Party_Singles_9.png")</f>
        <v/>
      </c>
    </row>
    <row r="10" ht="36.75" customHeight="1">
      <c r="A10" s="16" t="s">
        <v>1920</v>
      </c>
      <c r="B10" s="16" t="str">
        <f>IMAGE("https://lmztiles.s3.eu-west-1.amazonaws.com/Modern_Interiors_v41.3.4/1_Interiors/16x16/Theme_Sorter_Singles/10_Birthday_Party_Singles/Birthday_Party_Singles_10.png")</f>
        <v/>
      </c>
    </row>
    <row r="11" ht="36.75" customHeight="1">
      <c r="A11" s="16" t="s">
        <v>1921</v>
      </c>
      <c r="B11" s="16" t="str">
        <f>IMAGE("https://lmztiles.s3.eu-west-1.amazonaws.com/Modern_Interiors_v41.3.4/1_Interiors/16x16/Theme_Sorter_Singles/10_Birthday_Party_Singles/Birthday_Party_Singles_11.png")</f>
        <v/>
      </c>
    </row>
    <row r="12" ht="36.75" customHeight="1">
      <c r="A12" s="16" t="s">
        <v>1922</v>
      </c>
      <c r="B12" s="16" t="str">
        <f>IMAGE("https://lmztiles.s3.eu-west-1.amazonaws.com/Modern_Interiors_v41.3.4/1_Interiors/16x16/Theme_Sorter_Singles/10_Birthday_Party_Singles/Birthday_Party_Singles_12.png")</f>
        <v/>
      </c>
    </row>
    <row r="13" ht="36.75" customHeight="1">
      <c r="A13" s="16" t="s">
        <v>1923</v>
      </c>
      <c r="B13" s="16" t="str">
        <f>IMAGE("https://lmztiles.s3.eu-west-1.amazonaws.com/Modern_Interiors_v41.3.4/1_Interiors/16x16/Theme_Sorter_Singles/10_Birthday_Party_Singles/Birthday_Party_Singles_13.png")</f>
        <v/>
      </c>
    </row>
    <row r="14" ht="36.75" customHeight="1">
      <c r="A14" s="16" t="s">
        <v>1924</v>
      </c>
      <c r="B14" s="16" t="str">
        <f>IMAGE("https://lmztiles.s3.eu-west-1.amazonaws.com/Modern_Interiors_v41.3.4/1_Interiors/16x16/Theme_Sorter_Singles/10_Birthday_Party_Singles/Birthday_Party_Singles_14.png")</f>
        <v/>
      </c>
    </row>
    <row r="15" ht="36.75" customHeight="1">
      <c r="A15" s="16" t="s">
        <v>1925</v>
      </c>
      <c r="B15" s="16" t="str">
        <f>IMAGE("https://lmztiles.s3.eu-west-1.amazonaws.com/Modern_Interiors_v41.3.4/1_Interiors/16x16/Theme_Sorter_Singles/10_Birthday_Party_Singles/Birthday_Party_Singles_15.png")</f>
        <v/>
      </c>
    </row>
    <row r="16" ht="36.75" customHeight="1">
      <c r="A16" s="16" t="s">
        <v>1926</v>
      </c>
      <c r="B16" s="16" t="str">
        <f>IMAGE("https://lmztiles.s3.eu-west-1.amazonaws.com/Modern_Interiors_v41.3.4/1_Interiors/16x16/Theme_Sorter_Singles/10_Birthday_Party_Singles/Birthday_Party_Singles_16.png")</f>
        <v/>
      </c>
    </row>
    <row r="17" ht="36.75" customHeight="1">
      <c r="A17" s="16" t="s">
        <v>1927</v>
      </c>
      <c r="B17" s="16" t="str">
        <f>IMAGE("https://lmztiles.s3.eu-west-1.amazonaws.com/Modern_Interiors_v41.3.4/1_Interiors/16x16/Theme_Sorter_Singles/10_Birthday_Party_Singles/Birthday_Party_Singles_17.png")</f>
        <v/>
      </c>
    </row>
    <row r="18" ht="36.75" customHeight="1">
      <c r="A18" s="16" t="s">
        <v>1928</v>
      </c>
      <c r="B18" s="16" t="str">
        <f>IMAGE("https://lmztiles.s3.eu-west-1.amazonaws.com/Modern_Interiors_v41.3.4/1_Interiors/16x16/Theme_Sorter_Singles/10_Birthday_Party_Singles/Birthday_Party_Singles_18.png")</f>
        <v/>
      </c>
    </row>
    <row r="19" ht="36.75" customHeight="1">
      <c r="A19" s="16" t="s">
        <v>1929</v>
      </c>
      <c r="B19" s="16" t="str">
        <f>IMAGE("https://lmztiles.s3.eu-west-1.amazonaws.com/Modern_Interiors_v41.3.4/1_Interiors/16x16/Theme_Sorter_Singles/10_Birthday_Party_Singles/Birthday_Party_Singles_19.png")</f>
        <v/>
      </c>
    </row>
    <row r="20" ht="36.75" customHeight="1">
      <c r="A20" s="16" t="s">
        <v>1930</v>
      </c>
      <c r="B20" s="16" t="str">
        <f>IMAGE("https://lmztiles.s3.eu-west-1.amazonaws.com/Modern_Interiors_v41.3.4/1_Interiors/16x16/Theme_Sorter_Singles/10_Birthday_Party_Singles/Birthday_Party_Singles_20.png")</f>
        <v/>
      </c>
    </row>
    <row r="21" ht="36.75" customHeight="1">
      <c r="A21" s="16" t="s">
        <v>1931</v>
      </c>
      <c r="B21" s="16" t="str">
        <f>IMAGE("https://lmztiles.s3.eu-west-1.amazonaws.com/Modern_Interiors_v41.3.4/1_Interiors/16x16/Theme_Sorter_Singles/10_Birthday_Party_Singles/Birthday_Party_Singles_21.png")</f>
        <v/>
      </c>
    </row>
    <row r="22" ht="36.75" customHeight="1">
      <c r="A22" s="16" t="s">
        <v>1932</v>
      </c>
      <c r="B22" s="16" t="str">
        <f>IMAGE("https://lmztiles.s3.eu-west-1.amazonaws.com/Modern_Interiors_v41.3.4/1_Interiors/16x16/Theme_Sorter_Singles/10_Birthday_Party_Singles/Birthday_Party_Singles_22.png")</f>
        <v/>
      </c>
    </row>
    <row r="23" ht="36.75" customHeight="1">
      <c r="A23" s="16" t="s">
        <v>1933</v>
      </c>
      <c r="B23" s="16" t="str">
        <f>IMAGE("https://lmztiles.s3.eu-west-1.amazonaws.com/Modern_Interiors_v41.3.4/1_Interiors/16x16/Theme_Sorter_Singles/10_Birthday_Party_Singles/Birthday_Party_Singles_23.png")</f>
        <v/>
      </c>
    </row>
    <row r="24" ht="36.75" customHeight="1">
      <c r="A24" s="16" t="s">
        <v>1934</v>
      </c>
      <c r="B24" s="16" t="str">
        <f>IMAGE("https://lmztiles.s3.eu-west-1.amazonaws.com/Modern_Interiors_v41.3.4/1_Interiors/16x16/Theme_Sorter_Singles/10_Birthday_Party_Singles/Birthday_Party_Singles_24.png")</f>
        <v/>
      </c>
    </row>
    <row r="25" ht="36.75" customHeight="1">
      <c r="A25" s="16" t="s">
        <v>1935</v>
      </c>
      <c r="B25" s="16" t="str">
        <f>IMAGE("https://lmztiles.s3.eu-west-1.amazonaws.com/Modern_Interiors_v41.3.4/1_Interiors/16x16/Theme_Sorter_Singles/10_Birthday_Party_Singles/Birthday_Party_Singles_25.png")</f>
        <v/>
      </c>
    </row>
    <row r="26" ht="36.75" customHeight="1">
      <c r="A26" s="16" t="s">
        <v>1936</v>
      </c>
      <c r="B26" s="16" t="str">
        <f>IMAGE("https://lmztiles.s3.eu-west-1.amazonaws.com/Modern_Interiors_v41.3.4/1_Interiors/16x16/Theme_Sorter_Singles/10_Birthday_Party_Singles/Birthday_Party_Singles_26.png")</f>
        <v/>
      </c>
    </row>
    <row r="27" ht="36.75" customHeight="1">
      <c r="A27" s="16" t="s">
        <v>1937</v>
      </c>
      <c r="B27" s="16" t="str">
        <f>IMAGE("https://lmztiles.s3.eu-west-1.amazonaws.com/Modern_Interiors_v41.3.4/1_Interiors/16x16/Theme_Sorter_Singles/10_Birthday_Party_Singles/Birthday_Party_Singles_27.png")</f>
        <v/>
      </c>
    </row>
    <row r="28" ht="36.75" customHeight="1">
      <c r="A28" s="16" t="s">
        <v>1938</v>
      </c>
      <c r="B28" s="16" t="str">
        <f>IMAGE("https://lmztiles.s3.eu-west-1.amazonaws.com/Modern_Interiors_v41.3.4/1_Interiors/16x16/Theme_Sorter_Singles/10_Birthday_Party_Singles/Birthday_Party_Singles_28.png")</f>
        <v/>
      </c>
    </row>
    <row r="29" ht="36.75" customHeight="1">
      <c r="A29" s="16" t="s">
        <v>1939</v>
      </c>
      <c r="B29" s="16" t="str">
        <f>IMAGE("https://lmztiles.s3.eu-west-1.amazonaws.com/Modern_Interiors_v41.3.4/1_Interiors/16x16/Theme_Sorter_Singles/10_Birthday_Party_Singles/Birthday_Party_Singles_29.png")</f>
        <v/>
      </c>
    </row>
    <row r="30" ht="36.75" customHeight="1">
      <c r="A30" s="16" t="s">
        <v>1940</v>
      </c>
      <c r="B30" s="16" t="str">
        <f>IMAGE("https://lmztiles.s3.eu-west-1.amazonaws.com/Modern_Interiors_v41.3.4/1_Interiors/16x16/Theme_Sorter_Singles/10_Birthday_Party_Singles/Birthday_Party_Singles_30.png")</f>
        <v/>
      </c>
    </row>
    <row r="31" ht="36.75" customHeight="1">
      <c r="A31" s="16" t="s">
        <v>1941</v>
      </c>
      <c r="B31" s="16" t="str">
        <f>IMAGE("https://lmztiles.s3.eu-west-1.amazonaws.com/Modern_Interiors_v41.3.4/1_Interiors/16x16/Theme_Sorter_Singles/10_Birthday_Party_Singles/Birthday_Party_Singles_31.png")</f>
        <v/>
      </c>
    </row>
    <row r="32" ht="36.75" customHeight="1">
      <c r="A32" s="16" t="s">
        <v>1942</v>
      </c>
      <c r="B32" s="16" t="str">
        <f>IMAGE("https://lmztiles.s3.eu-west-1.amazonaws.com/Modern_Interiors_v41.3.4/1_Interiors/16x16/Theme_Sorter_Singles/10_Birthday_Party_Singles/Birthday_Party_Singles_32.png")</f>
        <v/>
      </c>
    </row>
    <row r="33" ht="36.75" customHeight="1">
      <c r="A33" s="16" t="s">
        <v>1943</v>
      </c>
      <c r="B33" s="16" t="str">
        <f>IMAGE("https://lmztiles.s3.eu-west-1.amazonaws.com/Modern_Interiors_v41.3.4/1_Interiors/16x16/Theme_Sorter_Singles/10_Birthday_Party_Singles/Birthday_Party_Singles_33.png")</f>
        <v/>
      </c>
    </row>
    <row r="34" ht="36.75" customHeight="1">
      <c r="A34" s="16" t="s">
        <v>1944</v>
      </c>
      <c r="B34" s="16" t="str">
        <f>IMAGE("https://lmztiles.s3.eu-west-1.amazonaws.com/Modern_Interiors_v41.3.4/1_Interiors/16x16/Theme_Sorter_Singles/10_Birthday_Party_Singles/Birthday_Party_Singles_34.png")</f>
        <v/>
      </c>
    </row>
    <row r="35" ht="36.75" customHeight="1">
      <c r="A35" s="16" t="s">
        <v>1945</v>
      </c>
      <c r="B35" s="16" t="str">
        <f>IMAGE("https://lmztiles.s3.eu-west-1.amazonaws.com/Modern_Interiors_v41.3.4/1_Interiors/16x16/Theme_Sorter_Singles/10_Birthday_Party_Singles/Birthday_Party_Singles_35.png")</f>
        <v/>
      </c>
    </row>
    <row r="36" ht="36.75" customHeight="1">
      <c r="A36" s="16" t="s">
        <v>1946</v>
      </c>
      <c r="B36" s="16" t="str">
        <f>IMAGE("https://lmztiles.s3.eu-west-1.amazonaws.com/Modern_Interiors_v41.3.4/1_Interiors/16x16/Theme_Sorter_Singles/10_Birthday_Party_Singles/Birthday_Party_Singles_36.png")</f>
        <v/>
      </c>
    </row>
    <row r="37" ht="36.75" customHeight="1">
      <c r="A37" s="16" t="s">
        <v>1947</v>
      </c>
      <c r="B37" s="16" t="str">
        <f>IMAGE("https://lmztiles.s3.eu-west-1.amazonaws.com/Modern_Interiors_v41.3.4/1_Interiors/16x16/Theme_Sorter_Singles/10_Birthday_Party_Singles/Birthday_Party_Singles_37.png")</f>
        <v/>
      </c>
    </row>
    <row r="38" ht="36.75" customHeight="1">
      <c r="A38" s="16" t="s">
        <v>1948</v>
      </c>
      <c r="B38" s="16" t="str">
        <f>IMAGE("https://lmztiles.s3.eu-west-1.amazonaws.com/Modern_Interiors_v41.3.4/1_Interiors/16x16/Theme_Sorter_Singles/10_Birthday_Party_Singles/Birthday_Party_Singles_38.png")</f>
        <v/>
      </c>
    </row>
    <row r="39" ht="36.75" customHeight="1">
      <c r="A39" s="16" t="s">
        <v>1949</v>
      </c>
      <c r="B39" s="16" t="str">
        <f>IMAGE("https://lmztiles.s3.eu-west-1.amazonaws.com/Modern_Interiors_v41.3.4/1_Interiors/16x16/Theme_Sorter_Singles/10_Birthday_Party_Singles/Birthday_Party_Singles_39.png")</f>
        <v/>
      </c>
    </row>
    <row r="40" ht="36.75" customHeight="1">
      <c r="A40" s="16" t="s">
        <v>1950</v>
      </c>
      <c r="B40" s="16" t="str">
        <f>IMAGE("https://lmztiles.s3.eu-west-1.amazonaws.com/Modern_Interiors_v41.3.4/1_Interiors/16x16/Theme_Sorter_Singles/10_Birthday_Party_Singles/Birthday_Party_Singles_40.png")</f>
        <v/>
      </c>
    </row>
    <row r="41" ht="36.75" customHeight="1">
      <c r="A41" s="16" t="s">
        <v>1951</v>
      </c>
      <c r="B41" s="16" t="str">
        <f>IMAGE("https://lmztiles.s3.eu-west-1.amazonaws.com/Modern_Interiors_v41.3.4/1_Interiors/16x16/Theme_Sorter_Singles/10_Birthday_Party_Singles/Birthday_Party_Singles_41.png")</f>
        <v/>
      </c>
    </row>
    <row r="42" ht="36.75" customHeight="1">
      <c r="A42" s="16" t="s">
        <v>1952</v>
      </c>
      <c r="B42" s="16" t="str">
        <f>IMAGE("https://lmztiles.s3.eu-west-1.amazonaws.com/Modern_Interiors_v41.3.4/1_Interiors/16x16/Theme_Sorter_Singles/10_Birthday_Party_Singles/Birthday_Party_Singles_42.png")</f>
        <v/>
      </c>
    </row>
    <row r="43" ht="36.75" customHeight="1">
      <c r="A43" s="16" t="s">
        <v>1953</v>
      </c>
      <c r="B43" s="16" t="str">
        <f>IMAGE("https://lmztiles.s3.eu-west-1.amazonaws.com/Modern_Interiors_v41.3.4/1_Interiors/16x16/Theme_Sorter_Singles/10_Birthday_Party_Singles/Birthday_Party_Singles_43.png")</f>
        <v/>
      </c>
    </row>
    <row r="44" ht="36.75" customHeight="1">
      <c r="A44" s="16" t="s">
        <v>1954</v>
      </c>
      <c r="B44" s="16" t="str">
        <f>IMAGE("https://lmztiles.s3.eu-west-1.amazonaws.com/Modern_Interiors_v41.3.4/1_Interiors/16x16/Theme_Sorter_Singles/10_Birthday_Party_Singles/Birthday_Party_Singles_44.png")</f>
        <v/>
      </c>
    </row>
    <row r="45" ht="36.75" customHeight="1">
      <c r="A45" s="16" t="s">
        <v>1955</v>
      </c>
      <c r="B45" s="16" t="str">
        <f>IMAGE("https://lmztiles.s3.eu-west-1.amazonaws.com/Modern_Interiors_v41.3.4/1_Interiors/16x16/Theme_Sorter_Singles/10_Birthday_Party_Singles/Birthday_Party_Singles_45.png")</f>
        <v/>
      </c>
    </row>
    <row r="46" ht="36.75" customHeight="1">
      <c r="A46" s="16" t="s">
        <v>1956</v>
      </c>
      <c r="B46" s="16" t="str">
        <f>IMAGE("https://lmztiles.s3.eu-west-1.amazonaws.com/Modern_Interiors_v41.3.4/1_Interiors/16x16/Theme_Sorter_Singles/10_Birthday_Party_Singles/Birthday_Party_Singles_46.png")</f>
        <v/>
      </c>
    </row>
    <row r="47" ht="36.75" customHeight="1"/>
    <row r="48" ht="36.75" customHeight="1"/>
    <row r="49" ht="36.75" customHeight="1"/>
    <row r="50" ht="36.75" customHeight="1"/>
    <row r="51" ht="36.75" customHeight="1"/>
    <row r="52" ht="36.75" customHeight="1"/>
    <row r="53" ht="36.75" customHeight="1"/>
    <row r="54" ht="36.75" customHeight="1"/>
    <row r="55" ht="36.75" customHeight="1"/>
    <row r="56" ht="36.75" customHeight="1"/>
    <row r="57" ht="36.75" customHeight="1"/>
    <row r="58" ht="36.75" customHeight="1"/>
    <row r="59" ht="36.75" customHeight="1"/>
    <row r="60" ht="36.75" customHeight="1"/>
    <row r="61" ht="36.75" customHeight="1"/>
    <row r="62" ht="36.75" customHeight="1"/>
    <row r="63" ht="36.75" customHeight="1"/>
    <row r="64" ht="36.75" customHeight="1"/>
    <row r="65" ht="36.75" customHeight="1"/>
    <row r="66" ht="36.75" customHeight="1"/>
    <row r="67" ht="36.75" customHeight="1"/>
    <row r="68" ht="36.75" customHeight="1"/>
    <row r="69" ht="36.75" customHeight="1"/>
    <row r="70" ht="36.75" customHeight="1"/>
    <row r="71" ht="36.75" customHeight="1"/>
    <row r="72" ht="36.75" customHeight="1"/>
    <row r="73" ht="36.75" customHeight="1"/>
    <row r="74" ht="36.75" customHeight="1"/>
    <row r="75" ht="36.75" customHeight="1"/>
    <row r="76" ht="36.75" customHeight="1"/>
    <row r="77" ht="36.75" customHeight="1"/>
    <row r="78" ht="36.75" customHeight="1"/>
    <row r="79" ht="36.75" customHeight="1"/>
    <row r="80" ht="36.75" customHeight="1"/>
    <row r="81" ht="36.75" customHeight="1"/>
    <row r="82" ht="36.75" customHeight="1"/>
    <row r="83" ht="36.75" customHeight="1"/>
    <row r="84" ht="36.75" customHeight="1"/>
    <row r="85" ht="36.75" customHeight="1"/>
    <row r="86" ht="36.75" customHeight="1"/>
    <row r="87" ht="36.75" customHeight="1"/>
    <row r="88" ht="36.75" customHeight="1"/>
    <row r="89" ht="36.75" customHeight="1"/>
    <row r="90" ht="36.75" customHeight="1"/>
    <row r="91" ht="36.75" customHeight="1"/>
    <row r="92" ht="36.75" customHeight="1"/>
    <row r="93" ht="36.75" customHeight="1"/>
    <row r="94" ht="36.75" customHeight="1"/>
    <row r="95" ht="36.75" customHeight="1"/>
    <row r="96" ht="36.75" customHeight="1"/>
    <row r="97" ht="36.75" customHeight="1"/>
    <row r="98" ht="36.75" customHeight="1"/>
    <row r="99" ht="36.75" customHeight="1"/>
    <row r="100" ht="36.75" customHeight="1"/>
    <row r="101" ht="36.75" customHeight="1"/>
    <row r="102" ht="36.75" customHeight="1"/>
    <row r="103" ht="36.75" customHeight="1"/>
    <row r="104" ht="36.75" customHeight="1"/>
    <row r="105" ht="36.75" customHeight="1"/>
    <row r="106" ht="36.75" customHeight="1"/>
    <row r="107" ht="36.75" customHeight="1"/>
    <row r="108" ht="36.75" customHeight="1"/>
    <row r="109" ht="36.75" customHeight="1"/>
    <row r="110" ht="36.75" customHeight="1"/>
    <row r="111" ht="36.75" customHeight="1"/>
    <row r="112" ht="36.75" customHeight="1"/>
    <row r="113" ht="36.75" customHeight="1"/>
    <row r="114" ht="36.75" customHeight="1"/>
    <row r="115" ht="36.75" customHeight="1"/>
    <row r="116" ht="36.75" customHeight="1"/>
    <row r="117" ht="36.75" customHeight="1"/>
    <row r="118" ht="36.75" customHeight="1"/>
    <row r="119" ht="36.75" customHeight="1"/>
    <row r="120" ht="36.75" customHeight="1"/>
    <row r="121" ht="36.75" customHeight="1"/>
    <row r="122" ht="36.75" customHeight="1"/>
    <row r="123" ht="36.75" customHeight="1"/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8.71"/>
    <col customWidth="1" min="3" max="3" width="83.29"/>
  </cols>
  <sheetData>
    <row r="1" ht="34.5" customHeight="1">
      <c r="A1" s="16" t="s">
        <v>1957</v>
      </c>
      <c r="B1" s="16" t="str">
        <f>IMAGE("https://lmztiles.s3.eu-west-1.amazonaws.com/Modern_Interiors_v41.3.4/1_Interiors/16x16/Theme_Sorter_Singles/11_Halloween_Singles/Halloween_Singles_1.png")</f>
        <v/>
      </c>
    </row>
    <row r="2" ht="34.5" customHeight="1">
      <c r="A2" s="16" t="s">
        <v>1958</v>
      </c>
      <c r="B2" s="16" t="str">
        <f>IMAGE("https://lmztiles.s3.eu-west-1.amazonaws.com/Modern_Interiors_v41.3.4/1_Interiors/16x16/Theme_Sorter_Singles/11_Halloween_Singles/Halloween_Singles_2.png")</f>
        <v/>
      </c>
    </row>
    <row r="3" ht="34.5" customHeight="1">
      <c r="A3" s="16" t="s">
        <v>1959</v>
      </c>
      <c r="B3" s="16" t="str">
        <f>IMAGE("https://lmztiles.s3.eu-west-1.amazonaws.com/Modern_Interiors_v41.3.4/1_Interiors/16x16/Theme_Sorter_Singles/11_Halloween_Singles/Halloween_Singles_3.png")</f>
        <v/>
      </c>
    </row>
    <row r="4" ht="34.5" customHeight="1">
      <c r="A4" s="16" t="s">
        <v>1960</v>
      </c>
      <c r="B4" s="16" t="str">
        <f>IMAGE("https://lmztiles.s3.eu-west-1.amazonaws.com/Modern_Interiors_v41.3.4/1_Interiors/16x16/Theme_Sorter_Singles/11_Halloween_Singles/Halloween_Singles_4.png")</f>
        <v/>
      </c>
    </row>
    <row r="5" ht="34.5" customHeight="1">
      <c r="A5" s="16" t="s">
        <v>1961</v>
      </c>
      <c r="B5" s="16" t="str">
        <f>IMAGE("https://lmztiles.s3.eu-west-1.amazonaws.com/Modern_Interiors_v41.3.4/1_Interiors/16x16/Theme_Sorter_Singles/11_Halloween_Singles/Halloween_Singles_5.png")</f>
        <v/>
      </c>
    </row>
    <row r="6" ht="34.5" customHeight="1">
      <c r="A6" s="16" t="s">
        <v>1962</v>
      </c>
      <c r="B6" s="16" t="str">
        <f>IMAGE("https://lmztiles.s3.eu-west-1.amazonaws.com/Modern_Interiors_v41.3.4/1_Interiors/16x16/Theme_Sorter_Singles/11_Halloween_Singles/Halloween_Singles_6.png")</f>
        <v/>
      </c>
    </row>
    <row r="7" ht="34.5" customHeight="1">
      <c r="A7" s="16" t="s">
        <v>1963</v>
      </c>
      <c r="B7" s="16" t="str">
        <f>IMAGE("https://lmztiles.s3.eu-west-1.amazonaws.com/Modern_Interiors_v41.3.4/1_Interiors/16x16/Theme_Sorter_Singles/11_Halloween_Singles/Halloween_Singles_7.png")</f>
        <v/>
      </c>
    </row>
    <row r="8" ht="34.5" customHeight="1">
      <c r="A8" s="16" t="s">
        <v>1964</v>
      </c>
      <c r="B8" s="16" t="str">
        <f>IMAGE("https://lmztiles.s3.eu-west-1.amazonaws.com/Modern_Interiors_v41.3.4/1_Interiors/16x16/Theme_Sorter_Singles/11_Halloween_Singles/Halloween_Singles_8.png")</f>
        <v/>
      </c>
    </row>
    <row r="9" ht="34.5" customHeight="1">
      <c r="A9" s="16" t="s">
        <v>1965</v>
      </c>
      <c r="B9" s="16" t="str">
        <f>IMAGE("https://lmztiles.s3.eu-west-1.amazonaws.com/Modern_Interiors_v41.3.4/1_Interiors/16x16/Theme_Sorter_Singles/11_Halloween_Singles/Halloween_Singles_9.png")</f>
        <v/>
      </c>
    </row>
    <row r="10" ht="34.5" customHeight="1">
      <c r="A10" s="16" t="s">
        <v>1966</v>
      </c>
      <c r="B10" s="16" t="str">
        <f>IMAGE("https://lmztiles.s3.eu-west-1.amazonaws.com/Modern_Interiors_v41.3.4/1_Interiors/16x16/Theme_Sorter_Singles/11_Halloween_Singles/Halloween_Singles_10.png")</f>
        <v/>
      </c>
    </row>
    <row r="11" ht="34.5" customHeight="1">
      <c r="A11" s="16" t="s">
        <v>1967</v>
      </c>
      <c r="B11" s="16" t="str">
        <f>IMAGE("https://lmztiles.s3.eu-west-1.amazonaws.com/Modern_Interiors_v41.3.4/1_Interiors/16x16/Theme_Sorter_Singles/11_Halloween_Singles/Halloween_Singles_11.png")</f>
        <v/>
      </c>
    </row>
    <row r="12" ht="34.5" customHeight="1">
      <c r="A12" s="16" t="s">
        <v>1968</v>
      </c>
      <c r="B12" s="16" t="str">
        <f>IMAGE("https://lmztiles.s3.eu-west-1.amazonaws.com/Modern_Interiors_v41.3.4/1_Interiors/16x16/Theme_Sorter_Singles/11_Halloween_Singles/Halloween_Singles_12.png")</f>
        <v/>
      </c>
    </row>
    <row r="13" ht="34.5" customHeight="1">
      <c r="A13" s="16" t="s">
        <v>1969</v>
      </c>
      <c r="B13" s="16" t="str">
        <f>IMAGE("https://lmztiles.s3.eu-west-1.amazonaws.com/Modern_Interiors_v41.3.4/1_Interiors/16x16/Theme_Sorter_Singles/11_Halloween_Singles/Halloween_Singles_13.png")</f>
        <v/>
      </c>
    </row>
    <row r="14" ht="34.5" customHeight="1">
      <c r="A14" s="16" t="s">
        <v>1970</v>
      </c>
      <c r="B14" s="16" t="str">
        <f>IMAGE("https://lmztiles.s3.eu-west-1.amazonaws.com/Modern_Interiors_v41.3.4/1_Interiors/16x16/Theme_Sorter_Singles/11_Halloween_Singles/Halloween_Singles_14.png")</f>
        <v/>
      </c>
    </row>
    <row r="15" ht="34.5" customHeight="1">
      <c r="A15" s="16" t="s">
        <v>1971</v>
      </c>
      <c r="B15" s="16" t="str">
        <f>IMAGE("https://lmztiles.s3.eu-west-1.amazonaws.com/Modern_Interiors_v41.3.4/1_Interiors/16x16/Theme_Sorter_Singles/11_Halloween_Singles/Halloween_Singles_15.png")</f>
        <v/>
      </c>
    </row>
    <row r="16" ht="34.5" customHeight="1">
      <c r="A16" s="16" t="s">
        <v>1972</v>
      </c>
      <c r="B16" s="16" t="str">
        <f>IMAGE("https://lmztiles.s3.eu-west-1.amazonaws.com/Modern_Interiors_v41.3.4/1_Interiors/16x16/Theme_Sorter_Singles/11_Halloween_Singles/Halloween_Singles_16.png")</f>
        <v/>
      </c>
    </row>
    <row r="17" ht="34.5" customHeight="1">
      <c r="A17" s="16" t="s">
        <v>1973</v>
      </c>
      <c r="B17" s="16" t="str">
        <f>IMAGE("https://lmztiles.s3.eu-west-1.amazonaws.com/Modern_Interiors_v41.3.4/1_Interiors/16x16/Theme_Sorter_Singles/11_Halloween_Singles/Halloween_Singles_17.png")</f>
        <v/>
      </c>
    </row>
    <row r="18" ht="34.5" customHeight="1">
      <c r="A18" s="16" t="s">
        <v>1974</v>
      </c>
      <c r="B18" s="16" t="str">
        <f>IMAGE("https://lmztiles.s3.eu-west-1.amazonaws.com/Modern_Interiors_v41.3.4/1_Interiors/16x16/Theme_Sorter_Singles/11_Halloween_Singles/Halloween_Singles_18.png")</f>
        <v/>
      </c>
    </row>
    <row r="19" ht="34.5" customHeight="1">
      <c r="A19" s="16" t="s">
        <v>1975</v>
      </c>
      <c r="B19" s="16" t="str">
        <f>IMAGE("https://lmztiles.s3.eu-west-1.amazonaws.com/Modern_Interiors_v41.3.4/1_Interiors/16x16/Theme_Sorter_Singles/11_Halloween_Singles/Halloween_Singles_19.png")</f>
        <v/>
      </c>
    </row>
    <row r="20" ht="34.5" customHeight="1">
      <c r="A20" s="16" t="s">
        <v>1976</v>
      </c>
      <c r="B20" s="16" t="str">
        <f>IMAGE("https://lmztiles.s3.eu-west-1.amazonaws.com/Modern_Interiors_v41.3.4/1_Interiors/16x16/Theme_Sorter_Singles/11_Halloween_Singles/Halloween_Singles_20.png")</f>
        <v/>
      </c>
    </row>
    <row r="21" ht="34.5" customHeight="1">
      <c r="A21" s="16" t="s">
        <v>1977</v>
      </c>
      <c r="B21" s="16" t="str">
        <f>IMAGE("https://lmztiles.s3.eu-west-1.amazonaws.com/Modern_Interiors_v41.3.4/1_Interiors/16x16/Theme_Sorter_Singles/11_Halloween_Singles/Halloween_Singles_21.png")</f>
        <v/>
      </c>
    </row>
    <row r="22" ht="34.5" customHeight="1">
      <c r="A22" s="16" t="s">
        <v>1978</v>
      </c>
      <c r="B22" s="16" t="str">
        <f>IMAGE("https://lmztiles.s3.eu-west-1.amazonaws.com/Modern_Interiors_v41.3.4/1_Interiors/16x16/Theme_Sorter_Singles/11_Halloween_Singles/Halloween_Singles_22.png")</f>
        <v/>
      </c>
    </row>
    <row r="23" ht="34.5" customHeight="1">
      <c r="A23" s="16" t="s">
        <v>1979</v>
      </c>
      <c r="B23" s="16" t="str">
        <f>IMAGE("https://lmztiles.s3.eu-west-1.amazonaws.com/Modern_Interiors_v41.3.4/1_Interiors/16x16/Theme_Sorter_Singles/11_Halloween_Singles/Halloween_Singles_23.png")</f>
        <v/>
      </c>
    </row>
    <row r="24" ht="34.5" customHeight="1">
      <c r="A24" s="16" t="s">
        <v>1980</v>
      </c>
      <c r="B24" s="16" t="str">
        <f>IMAGE("https://lmztiles.s3.eu-west-1.amazonaws.com/Modern_Interiors_v41.3.4/1_Interiors/16x16/Theme_Sorter_Singles/11_Halloween_Singles/Halloween_Singles_24.png")</f>
        <v/>
      </c>
    </row>
    <row r="25" ht="34.5" customHeight="1">
      <c r="A25" s="16" t="s">
        <v>1981</v>
      </c>
      <c r="B25" s="16" t="str">
        <f>IMAGE("https://lmztiles.s3.eu-west-1.amazonaws.com/Modern_Interiors_v41.3.4/1_Interiors/16x16/Theme_Sorter_Singles/11_Halloween_Singles/Halloween_Singles_25.png")</f>
        <v/>
      </c>
    </row>
    <row r="26" ht="34.5" customHeight="1">
      <c r="A26" s="16" t="s">
        <v>1982</v>
      </c>
      <c r="B26" s="16" t="str">
        <f>IMAGE("https://lmztiles.s3.eu-west-1.amazonaws.com/Modern_Interiors_v41.3.4/1_Interiors/16x16/Theme_Sorter_Singles/11_Halloween_Singles/Halloween_Singles_26.png")</f>
        <v/>
      </c>
    </row>
    <row r="27" ht="34.5" customHeight="1">
      <c r="A27" s="16" t="s">
        <v>1983</v>
      </c>
      <c r="B27" s="16" t="str">
        <f>IMAGE("https://lmztiles.s3.eu-west-1.amazonaws.com/Modern_Interiors_v41.3.4/1_Interiors/16x16/Theme_Sorter_Singles/11_Halloween_Singles/Halloween_Singles_27.png")</f>
        <v/>
      </c>
    </row>
    <row r="28" ht="34.5" customHeight="1">
      <c r="A28" s="16" t="s">
        <v>1984</v>
      </c>
      <c r="B28" s="16" t="str">
        <f>IMAGE("https://lmztiles.s3.eu-west-1.amazonaws.com/Modern_Interiors_v41.3.4/1_Interiors/16x16/Theme_Sorter_Singles/11_Halloween_Singles/Halloween_Singles_28.png")</f>
        <v/>
      </c>
    </row>
    <row r="29" ht="34.5" customHeight="1">
      <c r="A29" s="16" t="s">
        <v>1985</v>
      </c>
      <c r="B29" s="16" t="str">
        <f>IMAGE("https://lmztiles.s3.eu-west-1.amazonaws.com/Modern_Interiors_v41.3.4/1_Interiors/16x16/Theme_Sorter_Singles/11_Halloween_Singles/Halloween_Singles_29.png")</f>
        <v/>
      </c>
    </row>
    <row r="30" ht="34.5" customHeight="1">
      <c r="A30" s="16" t="s">
        <v>1986</v>
      </c>
      <c r="B30" s="16" t="str">
        <f>IMAGE("https://lmztiles.s3.eu-west-1.amazonaws.com/Modern_Interiors_v41.3.4/1_Interiors/16x16/Theme_Sorter_Singles/11_Halloween_Singles/Halloween_Singles_30.png")</f>
        <v/>
      </c>
    </row>
    <row r="31" ht="34.5" customHeight="1">
      <c r="A31" s="16" t="s">
        <v>1987</v>
      </c>
      <c r="B31" s="16" t="str">
        <f>IMAGE("https://lmztiles.s3.eu-west-1.amazonaws.com/Modern_Interiors_v41.3.4/1_Interiors/16x16/Theme_Sorter_Singles/11_Halloween_Singles/Halloween_Singles_31.png")</f>
        <v/>
      </c>
    </row>
    <row r="32" ht="34.5" customHeight="1">
      <c r="A32" s="16" t="s">
        <v>1988</v>
      </c>
      <c r="B32" s="16" t="str">
        <f>IMAGE("https://lmztiles.s3.eu-west-1.amazonaws.com/Modern_Interiors_v41.3.4/1_Interiors/16x16/Theme_Sorter_Singles/11_Halloween_Singles/Halloween_Singles_32.png")</f>
        <v/>
      </c>
    </row>
    <row r="33" ht="34.5" customHeight="1">
      <c r="A33" s="16" t="s">
        <v>1989</v>
      </c>
      <c r="B33" s="16" t="str">
        <f>IMAGE("https://lmztiles.s3.eu-west-1.amazonaws.com/Modern_Interiors_v41.3.4/1_Interiors/16x16/Theme_Sorter_Singles/11_Halloween_Singles/Halloween_Singles_33.png")</f>
        <v/>
      </c>
    </row>
    <row r="34" ht="34.5" customHeight="1">
      <c r="A34" s="16" t="s">
        <v>1990</v>
      </c>
      <c r="B34" s="16" t="str">
        <f>IMAGE("https://lmztiles.s3.eu-west-1.amazonaws.com/Modern_Interiors_v41.3.4/1_Interiors/16x16/Theme_Sorter_Singles/11_Halloween_Singles/Halloween_Singles_34.png")</f>
        <v/>
      </c>
    </row>
    <row r="35" ht="34.5" customHeight="1">
      <c r="A35" s="16" t="s">
        <v>1991</v>
      </c>
      <c r="B35" s="16" t="str">
        <f>IMAGE("https://lmztiles.s3.eu-west-1.amazonaws.com/Modern_Interiors_v41.3.4/1_Interiors/16x16/Theme_Sorter_Singles/11_Halloween_Singles/Halloween_Singles_35.png")</f>
        <v/>
      </c>
    </row>
    <row r="36" ht="34.5" customHeight="1">
      <c r="A36" s="16" t="s">
        <v>1992</v>
      </c>
      <c r="B36" s="16" t="str">
        <f>IMAGE("https://lmztiles.s3.eu-west-1.amazonaws.com/Modern_Interiors_v41.3.4/1_Interiors/16x16/Theme_Sorter_Singles/11_Halloween_Singles/Halloween_Singles_36.png")</f>
        <v/>
      </c>
    </row>
    <row r="37" ht="34.5" customHeight="1">
      <c r="A37" s="16" t="s">
        <v>1993</v>
      </c>
      <c r="B37" s="16" t="str">
        <f>IMAGE("https://lmztiles.s3.eu-west-1.amazonaws.com/Modern_Interiors_v41.3.4/1_Interiors/16x16/Theme_Sorter_Singles/11_Halloween_Singles/Halloween_Singles_37.png")</f>
        <v/>
      </c>
    </row>
    <row r="38" ht="34.5" customHeight="1">
      <c r="A38" s="16" t="s">
        <v>1994</v>
      </c>
      <c r="B38" s="16" t="str">
        <f>IMAGE("https://lmztiles.s3.eu-west-1.amazonaws.com/Modern_Interiors_v41.3.4/1_Interiors/16x16/Theme_Sorter_Singles/11_Halloween_Singles/Halloween_Singles_38.png")</f>
        <v/>
      </c>
    </row>
    <row r="39" ht="34.5" customHeight="1">
      <c r="A39" s="16" t="s">
        <v>1995</v>
      </c>
      <c r="B39" s="16" t="str">
        <f>IMAGE("https://lmztiles.s3.eu-west-1.amazonaws.com/Modern_Interiors_v41.3.4/1_Interiors/16x16/Theme_Sorter_Singles/11_Halloween_Singles/Halloween_Singles_39.png")</f>
        <v/>
      </c>
    </row>
    <row r="40" ht="34.5" customHeight="1">
      <c r="A40" s="16" t="s">
        <v>1996</v>
      </c>
      <c r="B40" s="16" t="str">
        <f>IMAGE("https://lmztiles.s3.eu-west-1.amazonaws.com/Modern_Interiors_v41.3.4/1_Interiors/16x16/Theme_Sorter_Singles/11_Halloween_Singles/Halloween_Singles_40.png")</f>
        <v/>
      </c>
    </row>
    <row r="41" ht="34.5" customHeight="1">
      <c r="A41" s="16" t="s">
        <v>1997</v>
      </c>
      <c r="B41" s="16" t="str">
        <f>IMAGE("https://lmztiles.s3.eu-west-1.amazonaws.com/Modern_Interiors_v41.3.4/1_Interiors/16x16/Theme_Sorter_Singles/11_Halloween_Singles/Halloween_Singles_41.png")</f>
        <v/>
      </c>
    </row>
    <row r="42" ht="34.5" customHeight="1">
      <c r="A42" s="16" t="s">
        <v>1998</v>
      </c>
      <c r="B42" s="16" t="str">
        <f>IMAGE("https://lmztiles.s3.eu-west-1.amazonaws.com/Modern_Interiors_v41.3.4/1_Interiors/16x16/Theme_Sorter_Singles/11_Halloween_Singles/Halloween_Singles_42.png")</f>
        <v/>
      </c>
    </row>
    <row r="43" ht="34.5" customHeight="1">
      <c r="A43" s="16" t="s">
        <v>1999</v>
      </c>
      <c r="B43" s="16" t="str">
        <f>IMAGE("https://lmztiles.s3.eu-west-1.amazonaws.com/Modern_Interiors_v41.3.4/1_Interiors/16x16/Theme_Sorter_Singles/11_Halloween_Singles/Halloween_Singles_43.png")</f>
        <v/>
      </c>
    </row>
    <row r="44" ht="34.5" customHeight="1">
      <c r="A44" s="16" t="s">
        <v>2000</v>
      </c>
      <c r="B44" s="16" t="str">
        <f>IMAGE("https://lmztiles.s3.eu-west-1.amazonaws.com/Modern_Interiors_v41.3.4/1_Interiors/16x16/Theme_Sorter_Singles/11_Halloween_Singles/Halloween_Singles_44.png")</f>
        <v/>
      </c>
    </row>
    <row r="45" ht="34.5" customHeight="1">
      <c r="A45" s="16" t="s">
        <v>2001</v>
      </c>
      <c r="B45" s="16" t="str">
        <f>IMAGE("https://lmztiles.s3.eu-west-1.amazonaws.com/Modern_Interiors_v41.3.4/1_Interiors/16x16/Theme_Sorter_Singles/11_Halloween_Singles/Halloween_Singles_45.png")</f>
        <v/>
      </c>
    </row>
    <row r="46" ht="34.5" customHeight="1">
      <c r="A46" s="16" t="s">
        <v>2002</v>
      </c>
      <c r="B46" s="16" t="str">
        <f>IMAGE("https://lmztiles.s3.eu-west-1.amazonaws.com/Modern_Interiors_v41.3.4/1_Interiors/16x16/Theme_Sorter_Singles/11_Halloween_Singles/Halloween_Singles_46.png")</f>
        <v/>
      </c>
    </row>
    <row r="47" ht="34.5" customHeight="1">
      <c r="A47" s="16" t="s">
        <v>2003</v>
      </c>
      <c r="B47" s="16" t="str">
        <f>IMAGE("https://lmztiles.s3.eu-west-1.amazonaws.com/Modern_Interiors_v41.3.4/1_Interiors/16x16/Theme_Sorter_Singles/11_Halloween_Singles/Halloween_Singles_47.png")</f>
        <v/>
      </c>
    </row>
    <row r="48" ht="34.5" customHeight="1">
      <c r="A48" s="16" t="s">
        <v>2004</v>
      </c>
      <c r="B48" s="16" t="str">
        <f>IMAGE("https://lmztiles.s3.eu-west-1.amazonaws.com/Modern_Interiors_v41.3.4/1_Interiors/16x16/Theme_Sorter_Singles/11_Halloween_Singles/Halloween_Singles_48.png")</f>
        <v/>
      </c>
    </row>
    <row r="49" ht="34.5" customHeight="1">
      <c r="A49" s="16" t="s">
        <v>2005</v>
      </c>
      <c r="B49" s="16" t="str">
        <f>IMAGE("https://lmztiles.s3.eu-west-1.amazonaws.com/Modern_Interiors_v41.3.4/1_Interiors/16x16/Theme_Sorter_Singles/11_Halloween_Singles/Halloween_Singles_49.png")</f>
        <v/>
      </c>
    </row>
    <row r="50" ht="34.5" customHeight="1">
      <c r="A50" s="16" t="s">
        <v>2006</v>
      </c>
      <c r="B50" s="16" t="str">
        <f>IMAGE("https://lmztiles.s3.eu-west-1.amazonaws.com/Modern_Interiors_v41.3.4/1_Interiors/16x16/Theme_Sorter_Singles/11_Halloween_Singles/Halloween_Singles_50.png")</f>
        <v/>
      </c>
    </row>
    <row r="51" ht="34.5" customHeight="1">
      <c r="A51" s="16" t="s">
        <v>2007</v>
      </c>
      <c r="B51" s="16" t="str">
        <f>IMAGE("https://lmztiles.s3.eu-west-1.amazonaws.com/Modern_Interiors_v41.3.4/1_Interiors/16x16/Theme_Sorter_Singles/11_Halloween_Singles/Halloween_Singles_51.png")</f>
        <v/>
      </c>
    </row>
    <row r="52" ht="34.5" customHeight="1">
      <c r="A52" s="16" t="s">
        <v>2008</v>
      </c>
      <c r="B52" s="16" t="str">
        <f>IMAGE("https://lmztiles.s3.eu-west-1.amazonaws.com/Modern_Interiors_v41.3.4/1_Interiors/16x16/Theme_Sorter_Singles/11_Halloween_Singles/Halloween_Singles_52.png")</f>
        <v/>
      </c>
    </row>
    <row r="53" ht="34.5" customHeight="1">
      <c r="A53" s="16" t="s">
        <v>2009</v>
      </c>
      <c r="B53" s="16" t="str">
        <f>IMAGE("https://lmztiles.s3.eu-west-1.amazonaws.com/Modern_Interiors_v41.3.4/1_Interiors/16x16/Theme_Sorter_Singles/11_Halloween_Singles/Halloween_Singles_53.png")</f>
        <v/>
      </c>
    </row>
    <row r="54" ht="34.5" customHeight="1">
      <c r="A54" s="16" t="s">
        <v>2010</v>
      </c>
      <c r="B54" s="16" t="str">
        <f>IMAGE("https://lmztiles.s3.eu-west-1.amazonaws.com/Modern_Interiors_v41.3.4/1_Interiors/16x16/Theme_Sorter_Singles/11_Halloween_Singles/Halloween_Singles_54.png")</f>
        <v/>
      </c>
    </row>
    <row r="55" ht="34.5" customHeight="1">
      <c r="A55" s="16" t="s">
        <v>2011</v>
      </c>
      <c r="B55" s="16" t="str">
        <f>IMAGE("https://lmztiles.s3.eu-west-1.amazonaws.com/Modern_Interiors_v41.3.4/1_Interiors/16x16/Theme_Sorter_Singles/11_Halloween_Singles/Halloween_Singles_55.png")</f>
        <v/>
      </c>
    </row>
    <row r="56" ht="34.5" customHeight="1">
      <c r="A56" s="16" t="s">
        <v>2012</v>
      </c>
      <c r="B56" s="16" t="str">
        <f>IMAGE("https://lmztiles.s3.eu-west-1.amazonaws.com/Modern_Interiors_v41.3.4/1_Interiors/16x16/Theme_Sorter_Singles/11_Halloween_Singles/Halloween_Singles_56.png")</f>
        <v/>
      </c>
    </row>
    <row r="57" ht="34.5" customHeight="1">
      <c r="A57" s="16" t="s">
        <v>2013</v>
      </c>
      <c r="B57" s="16" t="str">
        <f>IMAGE("https://lmztiles.s3.eu-west-1.amazonaws.com/Modern_Interiors_v41.3.4/1_Interiors/16x16/Theme_Sorter_Singles/11_Halloween_Singles/Halloween_Singles_57.png")</f>
        <v/>
      </c>
    </row>
    <row r="58" ht="34.5" customHeight="1">
      <c r="A58" s="16" t="s">
        <v>2014</v>
      </c>
      <c r="B58" s="16" t="str">
        <f>IMAGE("https://lmztiles.s3.eu-west-1.amazonaws.com/Modern_Interiors_v41.3.4/1_Interiors/16x16/Theme_Sorter_Singles/11_Halloween_Singles/Halloween_Singles_58.png")</f>
        <v/>
      </c>
    </row>
    <row r="59" ht="34.5" customHeight="1">
      <c r="A59" s="16" t="s">
        <v>2015</v>
      </c>
      <c r="B59" s="16" t="str">
        <f>IMAGE("https://lmztiles.s3.eu-west-1.amazonaws.com/Modern_Interiors_v41.3.4/1_Interiors/16x16/Theme_Sorter_Singles/11_Halloween_Singles/Halloween_Singles_59.png")</f>
        <v/>
      </c>
    </row>
    <row r="60" ht="34.5" customHeight="1">
      <c r="A60" s="16" t="s">
        <v>2016</v>
      </c>
      <c r="B60" s="16" t="str">
        <f>IMAGE("https://lmztiles.s3.eu-west-1.amazonaws.com/Modern_Interiors_v41.3.4/1_Interiors/16x16/Theme_Sorter_Singles/11_Halloween_Singles/Halloween_Singles_60.png")</f>
        <v/>
      </c>
    </row>
    <row r="61" ht="34.5" customHeight="1">
      <c r="A61" s="16" t="s">
        <v>2017</v>
      </c>
      <c r="B61" s="16" t="str">
        <f>IMAGE("https://lmztiles.s3.eu-west-1.amazonaws.com/Modern_Interiors_v41.3.4/1_Interiors/16x16/Theme_Sorter_Singles/11_Halloween_Singles/Halloween_Singles_61.png")</f>
        <v/>
      </c>
    </row>
    <row r="62" ht="34.5" customHeight="1">
      <c r="A62" s="16" t="s">
        <v>2018</v>
      </c>
      <c r="B62" s="16" t="str">
        <f>IMAGE("https://lmztiles.s3.eu-west-1.amazonaws.com/Modern_Interiors_v41.3.4/1_Interiors/16x16/Theme_Sorter_Singles/11_Halloween_Singles/Halloween_Singles_62.png")</f>
        <v/>
      </c>
    </row>
    <row r="63" ht="34.5" customHeight="1">
      <c r="A63" s="16" t="s">
        <v>2019</v>
      </c>
      <c r="B63" s="16" t="str">
        <f>IMAGE("https://lmztiles.s3.eu-west-1.amazonaws.com/Modern_Interiors_v41.3.4/1_Interiors/16x16/Theme_Sorter_Singles/11_Halloween_Singles/Halloween_Singles_63.png")</f>
        <v/>
      </c>
    </row>
    <row r="64" ht="34.5" customHeight="1">
      <c r="A64" s="16" t="s">
        <v>2020</v>
      </c>
      <c r="B64" s="16" t="str">
        <f>IMAGE("https://lmztiles.s3.eu-west-1.amazonaws.com/Modern_Interiors_v41.3.4/1_Interiors/16x16/Theme_Sorter_Singles/11_Halloween_Singles/Halloween_Singles_64.png")</f>
        <v/>
      </c>
    </row>
    <row r="65" ht="34.5" customHeight="1">
      <c r="A65" s="16" t="s">
        <v>2021</v>
      </c>
      <c r="B65" s="16" t="str">
        <f>IMAGE("https://lmztiles.s3.eu-west-1.amazonaws.com/Modern_Interiors_v41.3.4/1_Interiors/16x16/Theme_Sorter_Singles/11_Halloween_Singles/Halloween_Singles_65.png")</f>
        <v/>
      </c>
    </row>
    <row r="66" ht="34.5" customHeight="1">
      <c r="A66" s="16" t="s">
        <v>2022</v>
      </c>
      <c r="B66" s="16" t="str">
        <f>IMAGE("https://lmztiles.s3.eu-west-1.amazonaws.com/Modern_Interiors_v41.3.4/1_Interiors/16x16/Theme_Sorter_Singles/11_Halloween_Singles/Halloween_Singles_66.png")</f>
        <v/>
      </c>
    </row>
    <row r="67" ht="34.5" customHeight="1">
      <c r="A67" s="16" t="s">
        <v>2023</v>
      </c>
      <c r="B67" s="16" t="str">
        <f>IMAGE("https://lmztiles.s3.eu-west-1.amazonaws.com/Modern_Interiors_v41.3.4/1_Interiors/16x16/Theme_Sorter_Singles/11_Halloween_Singles/Halloween_Singles_67.png")</f>
        <v/>
      </c>
    </row>
    <row r="68" ht="34.5" customHeight="1">
      <c r="A68" s="16" t="s">
        <v>2024</v>
      </c>
      <c r="B68" s="16" t="str">
        <f>IMAGE("https://lmztiles.s3.eu-west-1.amazonaws.com/Modern_Interiors_v41.3.4/1_Interiors/16x16/Theme_Sorter_Singles/11_Halloween_Singles/Halloween_Singles_68.png")</f>
        <v/>
      </c>
    </row>
    <row r="69" ht="34.5" customHeight="1">
      <c r="A69" s="16" t="s">
        <v>2025</v>
      </c>
      <c r="B69" s="16" t="str">
        <f>IMAGE("https://lmztiles.s3.eu-west-1.amazonaws.com/Modern_Interiors_v41.3.4/1_Interiors/16x16/Theme_Sorter_Singles/11_Halloween_Singles/Halloween_Singles_69.png")</f>
        <v/>
      </c>
    </row>
    <row r="70" ht="34.5" customHeight="1">
      <c r="A70" s="16" t="s">
        <v>2026</v>
      </c>
      <c r="B70" s="16" t="str">
        <f>IMAGE("https://lmztiles.s3.eu-west-1.amazonaws.com/Modern_Interiors_v41.3.4/1_Interiors/16x16/Theme_Sorter_Singles/11_Halloween_Singles/Halloween_Singles_70.png")</f>
        <v/>
      </c>
    </row>
    <row r="71" ht="34.5" customHeight="1">
      <c r="A71" s="16" t="s">
        <v>2027</v>
      </c>
      <c r="B71" s="16" t="str">
        <f>IMAGE("https://lmztiles.s3.eu-west-1.amazonaws.com/Modern_Interiors_v41.3.4/1_Interiors/16x16/Theme_Sorter_Singles/11_Halloween_Singles/Halloween_Singles_71.png")</f>
        <v/>
      </c>
    </row>
    <row r="72" ht="34.5" customHeight="1">
      <c r="A72" s="16" t="s">
        <v>2028</v>
      </c>
      <c r="B72" s="16" t="str">
        <f>IMAGE("https://lmztiles.s3.eu-west-1.amazonaws.com/Modern_Interiors_v41.3.4/1_Interiors/16x16/Theme_Sorter_Singles/11_Halloween_Singles/Halloween_Singles_72.png")</f>
        <v/>
      </c>
    </row>
    <row r="73" ht="34.5" customHeight="1">
      <c r="A73" s="16" t="s">
        <v>2029</v>
      </c>
      <c r="B73" s="16" t="str">
        <f>IMAGE("https://lmztiles.s3.eu-west-1.amazonaws.com/Modern_Interiors_v41.3.4/1_Interiors/16x16/Theme_Sorter_Singles/11_Halloween_Singles/Halloween_Singles_73.png")</f>
        <v/>
      </c>
    </row>
    <row r="74" ht="34.5" customHeight="1">
      <c r="A74" s="16" t="s">
        <v>2030</v>
      </c>
      <c r="B74" s="16" t="str">
        <f>IMAGE("https://lmztiles.s3.eu-west-1.amazonaws.com/Modern_Interiors_v41.3.4/1_Interiors/16x16/Theme_Sorter_Singles/11_Halloween_Singles/Halloween_Singles_74.png")</f>
        <v/>
      </c>
    </row>
    <row r="75" ht="34.5" customHeight="1">
      <c r="A75" s="16" t="s">
        <v>2031</v>
      </c>
      <c r="B75" s="16" t="str">
        <f>IMAGE("https://lmztiles.s3.eu-west-1.amazonaws.com/Modern_Interiors_v41.3.4/1_Interiors/16x16/Theme_Sorter_Singles/11_Halloween_Singles/Halloween_Singles_75.png")</f>
        <v/>
      </c>
    </row>
    <row r="76" ht="34.5" customHeight="1">
      <c r="A76" s="16" t="s">
        <v>2032</v>
      </c>
      <c r="B76" s="16" t="str">
        <f>IMAGE("https://lmztiles.s3.eu-west-1.amazonaws.com/Modern_Interiors_v41.3.4/1_Interiors/16x16/Theme_Sorter_Singles/11_Halloween_Singles/Halloween_Singles_76.png")</f>
        <v/>
      </c>
    </row>
    <row r="77" ht="34.5" customHeight="1">
      <c r="A77" s="16" t="s">
        <v>2033</v>
      </c>
      <c r="B77" s="16" t="str">
        <f>IMAGE("https://lmztiles.s3.eu-west-1.amazonaws.com/Modern_Interiors_v41.3.4/1_Interiors/16x16/Theme_Sorter_Singles/11_Halloween_Singles/Halloween_Singles_77.png")</f>
        <v/>
      </c>
    </row>
    <row r="78" ht="34.5" customHeight="1">
      <c r="A78" s="16" t="s">
        <v>2034</v>
      </c>
      <c r="B78" s="16" t="str">
        <f>IMAGE("https://lmztiles.s3.eu-west-1.amazonaws.com/Modern_Interiors_v41.3.4/1_Interiors/16x16/Theme_Sorter_Singles/11_Halloween_Singles/Halloween_Singles_78.png")</f>
        <v/>
      </c>
    </row>
    <row r="79" ht="34.5" customHeight="1">
      <c r="A79" s="16" t="s">
        <v>2035</v>
      </c>
      <c r="B79" s="16" t="str">
        <f>IMAGE("https://lmztiles.s3.eu-west-1.amazonaws.com/Modern_Interiors_v41.3.4/1_Interiors/16x16/Theme_Sorter_Singles/11_Halloween_Singles/Halloween_Singles_79.png")</f>
        <v/>
      </c>
    </row>
    <row r="80" ht="34.5" customHeight="1">
      <c r="A80" s="16" t="s">
        <v>2036</v>
      </c>
      <c r="B80" s="16" t="str">
        <f>IMAGE("https://lmztiles.s3.eu-west-1.amazonaws.com/Modern_Interiors_v41.3.4/1_Interiors/16x16/Theme_Sorter_Singles/11_Halloween_Singles/Halloween_Singles_80.png")</f>
        <v/>
      </c>
    </row>
    <row r="81" ht="34.5" customHeight="1">
      <c r="A81" s="16" t="s">
        <v>2037</v>
      </c>
      <c r="B81" s="16" t="str">
        <f>IMAGE("https://lmztiles.s3.eu-west-1.amazonaws.com/Modern_Interiors_v41.3.4/1_Interiors/16x16/Theme_Sorter_Singles/11_Halloween_Singles/Halloween_Singles_81.png")</f>
        <v/>
      </c>
    </row>
    <row r="82" ht="34.5" customHeight="1">
      <c r="A82" s="16" t="s">
        <v>2038</v>
      </c>
      <c r="B82" s="16" t="str">
        <f>IMAGE("https://lmztiles.s3.eu-west-1.amazonaws.com/Modern_Interiors_v41.3.4/1_Interiors/16x16/Theme_Sorter_Singles/11_Halloween_Singles/Halloween_Singles_82.png")</f>
        <v/>
      </c>
    </row>
    <row r="83" ht="34.5" customHeight="1">
      <c r="A83" s="16" t="s">
        <v>2039</v>
      </c>
      <c r="B83" s="16" t="str">
        <f>IMAGE("https://lmztiles.s3.eu-west-1.amazonaws.com/Modern_Interiors_v41.3.4/1_Interiors/16x16/Theme_Sorter_Singles/11_Halloween_Singles/Halloween_Singles_83.png")</f>
        <v/>
      </c>
    </row>
    <row r="84" ht="34.5" customHeight="1">
      <c r="A84" s="16" t="s">
        <v>2040</v>
      </c>
      <c r="B84" s="16" t="str">
        <f>IMAGE("https://lmztiles.s3.eu-west-1.amazonaws.com/Modern_Interiors_v41.3.4/1_Interiors/16x16/Theme_Sorter_Singles/11_Halloween_Singles/Halloween_Singles_84.png")</f>
        <v/>
      </c>
    </row>
    <row r="85" ht="34.5" customHeight="1">
      <c r="A85" s="16" t="s">
        <v>2041</v>
      </c>
      <c r="B85" s="16" t="str">
        <f>IMAGE("https://lmztiles.s3.eu-west-1.amazonaws.com/Modern_Interiors_v41.3.4/1_Interiors/16x16/Theme_Sorter_Singles/11_Halloween_Singles/Halloween_Singles_85.png")</f>
        <v/>
      </c>
    </row>
    <row r="86" ht="34.5" customHeight="1">
      <c r="A86" s="16" t="s">
        <v>2042</v>
      </c>
      <c r="B86" s="16" t="str">
        <f>IMAGE("https://lmztiles.s3.eu-west-1.amazonaws.com/Modern_Interiors_v41.3.4/1_Interiors/16x16/Theme_Sorter_Singles/11_Halloween_Singles/Halloween_Singles_86.png")</f>
        <v/>
      </c>
    </row>
    <row r="87" ht="34.5" customHeight="1">
      <c r="A87" s="16" t="s">
        <v>2043</v>
      </c>
      <c r="B87" s="16" t="str">
        <f>IMAGE("https://lmztiles.s3.eu-west-1.amazonaws.com/Modern_Interiors_v41.3.4/1_Interiors/16x16/Theme_Sorter_Singles/11_Halloween_Singles/Halloween_Singles_87.png")</f>
        <v/>
      </c>
    </row>
    <row r="88" ht="34.5" customHeight="1">
      <c r="A88" s="16" t="s">
        <v>2044</v>
      </c>
      <c r="B88" s="16" t="str">
        <f>IMAGE("https://lmztiles.s3.eu-west-1.amazonaws.com/Modern_Interiors_v41.3.4/1_Interiors/16x16/Theme_Sorter_Singles/11_Halloween_Singles/Halloween_Singles_88.png")</f>
        <v/>
      </c>
    </row>
    <row r="89" ht="34.5" customHeight="1">
      <c r="A89" s="16" t="s">
        <v>2045</v>
      </c>
      <c r="B89" s="16" t="str">
        <f>IMAGE("https://lmztiles.s3.eu-west-1.amazonaws.com/Modern_Interiors_v41.3.4/1_Interiors/16x16/Theme_Sorter_Singles/11_Halloween_Singles/Halloween_Singles_89.png")</f>
        <v/>
      </c>
    </row>
    <row r="90" ht="34.5" customHeight="1">
      <c r="A90" s="16" t="s">
        <v>2046</v>
      </c>
      <c r="B90" s="16" t="str">
        <f>IMAGE("https://lmztiles.s3.eu-west-1.amazonaws.com/Modern_Interiors_v41.3.4/1_Interiors/16x16/Theme_Sorter_Singles/11_Halloween_Singles/Halloween_Singles_90.png")</f>
        <v/>
      </c>
    </row>
    <row r="91" ht="34.5" customHeight="1">
      <c r="A91" s="16" t="s">
        <v>2047</v>
      </c>
      <c r="B91" s="16" t="str">
        <f>IMAGE("https://lmztiles.s3.eu-west-1.amazonaws.com/Modern_Interiors_v41.3.4/1_Interiors/16x16/Theme_Sorter_Singles/11_Halloween_Singles/Halloween_Singles_91.png")</f>
        <v/>
      </c>
    </row>
    <row r="92" ht="34.5" customHeight="1">
      <c r="A92" s="16" t="s">
        <v>2048</v>
      </c>
      <c r="B92" s="16" t="str">
        <f>IMAGE("https://lmztiles.s3.eu-west-1.amazonaws.com/Modern_Interiors_v41.3.4/1_Interiors/16x16/Theme_Sorter_Singles/11_Halloween_Singles/Halloween_Singles_92.png")</f>
        <v/>
      </c>
    </row>
    <row r="93" ht="34.5" customHeight="1">
      <c r="A93" s="16" t="s">
        <v>2049</v>
      </c>
      <c r="B93" s="16" t="str">
        <f>IMAGE("https://lmztiles.s3.eu-west-1.amazonaws.com/Modern_Interiors_v41.3.4/1_Interiors/16x16/Theme_Sorter_Singles/11_Halloween_Singles/Halloween_Singles_93.png")</f>
        <v/>
      </c>
    </row>
    <row r="94" ht="34.5" customHeight="1">
      <c r="A94" s="16" t="s">
        <v>2050</v>
      </c>
      <c r="B94" s="16" t="str">
        <f>IMAGE("https://lmztiles.s3.eu-west-1.amazonaws.com/Modern_Interiors_v41.3.4/1_Interiors/16x16/Theme_Sorter_Singles/11_Halloween_Singles/Halloween_Singles_94.png")</f>
        <v/>
      </c>
    </row>
    <row r="95" ht="34.5" customHeight="1">
      <c r="A95" s="16" t="s">
        <v>2051</v>
      </c>
      <c r="B95" s="16" t="str">
        <f>IMAGE("https://lmztiles.s3.eu-west-1.amazonaws.com/Modern_Interiors_v41.3.4/1_Interiors/16x16/Theme_Sorter_Singles/11_Halloween_Singles/Halloween_Singles_95.png")</f>
        <v/>
      </c>
    </row>
    <row r="96" ht="34.5" customHeight="1">
      <c r="A96" s="16" t="s">
        <v>2052</v>
      </c>
      <c r="B96" s="16" t="str">
        <f>IMAGE("https://lmztiles.s3.eu-west-1.amazonaws.com/Modern_Interiors_v41.3.4/1_Interiors/16x16/Theme_Sorter_Singles/11_Halloween_Singles/Halloween_Singles_96.png")</f>
        <v/>
      </c>
    </row>
    <row r="97" ht="34.5" customHeight="1">
      <c r="A97" s="16" t="s">
        <v>2053</v>
      </c>
      <c r="B97" s="16" t="str">
        <f>IMAGE("https://lmztiles.s3.eu-west-1.amazonaws.com/Modern_Interiors_v41.3.4/1_Interiors/16x16/Theme_Sorter_Singles/11_Halloween_Singles/Halloween_Singles_97.png")</f>
        <v/>
      </c>
    </row>
    <row r="98" ht="34.5" customHeight="1">
      <c r="A98" s="16" t="s">
        <v>2054</v>
      </c>
      <c r="B98" s="16" t="str">
        <f>IMAGE("https://lmztiles.s3.eu-west-1.amazonaws.com/Modern_Interiors_v41.3.4/1_Interiors/16x16/Theme_Sorter_Singles/11_Halloween_Singles/Halloween_Singles_98.png")</f>
        <v/>
      </c>
    </row>
    <row r="99" ht="34.5" customHeight="1">
      <c r="A99" s="16" t="s">
        <v>2055</v>
      </c>
      <c r="B99" s="16" t="str">
        <f>IMAGE("https://lmztiles.s3.eu-west-1.amazonaws.com/Modern_Interiors_v41.3.4/1_Interiors/16x16/Theme_Sorter_Singles/11_Halloween_Singles/Halloween_Singles_99.png")</f>
        <v/>
      </c>
    </row>
    <row r="100" ht="34.5" customHeight="1">
      <c r="A100" s="16" t="s">
        <v>2056</v>
      </c>
      <c r="B100" s="16" t="str">
        <f>IMAGE("https://lmztiles.s3.eu-west-1.amazonaws.com/Modern_Interiors_v41.3.4/1_Interiors/16x16/Theme_Sorter_Singles/11_Halloween_Singles/Halloween_Singles_100.png")</f>
        <v/>
      </c>
    </row>
    <row r="101" ht="34.5" customHeight="1">
      <c r="A101" s="16" t="s">
        <v>2057</v>
      </c>
      <c r="B101" s="16" t="str">
        <f>IMAGE("https://lmztiles.s3.eu-west-1.amazonaws.com/Modern_Interiors_v41.3.4/1_Interiors/16x16/Theme_Sorter_Singles/11_Halloween_Singles/Halloween_Singles_101.png")</f>
        <v/>
      </c>
    </row>
    <row r="102" ht="34.5" customHeight="1">
      <c r="A102" s="16" t="s">
        <v>2058</v>
      </c>
      <c r="B102" s="16" t="str">
        <f>IMAGE("https://lmztiles.s3.eu-west-1.amazonaws.com/Modern_Interiors_v41.3.4/1_Interiors/16x16/Theme_Sorter_Singles/11_Halloween_Singles/Halloween_Singles_102.png")</f>
        <v/>
      </c>
    </row>
    <row r="103" ht="34.5" customHeight="1">
      <c r="A103" s="16" t="s">
        <v>2059</v>
      </c>
      <c r="B103" s="16" t="str">
        <f>IMAGE("https://lmztiles.s3.eu-west-1.amazonaws.com/Modern_Interiors_v41.3.4/1_Interiors/16x16/Theme_Sorter_Singles/11_Halloween_Singles/Halloween_Singles_103.png")</f>
        <v/>
      </c>
    </row>
    <row r="104" ht="34.5" customHeight="1">
      <c r="A104" s="16" t="s">
        <v>2060</v>
      </c>
      <c r="B104" s="16" t="str">
        <f>IMAGE("https://lmztiles.s3.eu-west-1.amazonaws.com/Modern_Interiors_v41.3.4/1_Interiors/16x16/Theme_Sorter_Singles/11_Halloween_Singles/Halloween_Singles_104.png")</f>
        <v/>
      </c>
    </row>
    <row r="105" ht="34.5" customHeight="1">
      <c r="A105" s="16" t="s">
        <v>2061</v>
      </c>
      <c r="B105" s="16" t="str">
        <f>IMAGE("https://lmztiles.s3.eu-west-1.amazonaws.com/Modern_Interiors_v41.3.4/1_Interiors/16x16/Theme_Sorter_Singles/11_Halloween_Singles/Halloween_Singles_105.png")</f>
        <v/>
      </c>
    </row>
    <row r="106" ht="34.5" customHeight="1">
      <c r="A106" s="16" t="s">
        <v>2062</v>
      </c>
      <c r="B106" s="16" t="str">
        <f>IMAGE("https://lmztiles.s3.eu-west-1.amazonaws.com/Modern_Interiors_v41.3.4/1_Interiors/16x16/Theme_Sorter_Singles/11_Halloween_Singles/Halloween_Singles_106.png")</f>
        <v/>
      </c>
    </row>
    <row r="107" ht="34.5" customHeight="1">
      <c r="A107" s="16" t="s">
        <v>2063</v>
      </c>
      <c r="B107" s="16" t="str">
        <f>IMAGE("https://lmztiles.s3.eu-west-1.amazonaws.com/Modern_Interiors_v41.3.4/1_Interiors/16x16/Theme_Sorter_Singles/11_Halloween_Singles/Halloween_Singles_107.png")</f>
        <v/>
      </c>
    </row>
    <row r="108" ht="34.5" customHeight="1">
      <c r="A108" s="16" t="s">
        <v>2064</v>
      </c>
      <c r="B108" s="16" t="str">
        <f>IMAGE("https://lmztiles.s3.eu-west-1.amazonaws.com/Modern_Interiors_v41.3.4/1_Interiors/16x16/Theme_Sorter_Singles/11_Halloween_Singles/Halloween_Singles_108.png")</f>
        <v/>
      </c>
    </row>
    <row r="109" ht="34.5" customHeight="1">
      <c r="A109" s="16" t="s">
        <v>2065</v>
      </c>
      <c r="B109" s="16" t="str">
        <f>IMAGE("https://lmztiles.s3.eu-west-1.amazonaws.com/Modern_Interiors_v41.3.4/1_Interiors/16x16/Theme_Sorter_Singles/11_Halloween_Singles/Halloween_Singles_109.png")</f>
        <v/>
      </c>
    </row>
    <row r="110" ht="34.5" customHeight="1">
      <c r="A110" s="16" t="s">
        <v>2066</v>
      </c>
      <c r="B110" s="16" t="str">
        <f>IMAGE("https://lmztiles.s3.eu-west-1.amazonaws.com/Modern_Interiors_v41.3.4/1_Interiors/16x16/Theme_Sorter_Singles/11_Halloween_Singles/Halloween_Singles_110.png")</f>
        <v/>
      </c>
    </row>
    <row r="111" ht="34.5" customHeight="1">
      <c r="A111" s="16" t="s">
        <v>2067</v>
      </c>
      <c r="B111" s="16" t="str">
        <f>IMAGE("https://lmztiles.s3.eu-west-1.amazonaws.com/Modern_Interiors_v41.3.4/1_Interiors/16x16/Theme_Sorter_Singles/11_Halloween_Singles/Halloween_Singles_111.png")</f>
        <v/>
      </c>
    </row>
    <row r="112" ht="34.5" customHeight="1">
      <c r="A112" s="16" t="s">
        <v>2068</v>
      </c>
      <c r="B112" s="16" t="str">
        <f>IMAGE("https://lmztiles.s3.eu-west-1.amazonaws.com/Modern_Interiors_v41.3.4/1_Interiors/16x16/Theme_Sorter_Singles/11_Halloween_Singles/Halloween_Singles_112.png")</f>
        <v/>
      </c>
    </row>
    <row r="113" ht="34.5" customHeight="1">
      <c r="A113" s="16" t="s">
        <v>2069</v>
      </c>
      <c r="B113" s="16" t="str">
        <f>IMAGE("https://lmztiles.s3.eu-west-1.amazonaws.com/Modern_Interiors_v41.3.4/1_Interiors/16x16/Theme_Sorter_Singles/11_Halloween_Singles/Halloween_Singles_113.png")</f>
        <v/>
      </c>
    </row>
    <row r="114" ht="34.5" customHeight="1">
      <c r="A114" s="16" t="s">
        <v>2070</v>
      </c>
      <c r="B114" s="16" t="str">
        <f>IMAGE("https://lmztiles.s3.eu-west-1.amazonaws.com/Modern_Interiors_v41.3.4/1_Interiors/16x16/Theme_Sorter_Singles/11_Halloween_Singles/Halloween_Singles_114.png")</f>
        <v/>
      </c>
    </row>
    <row r="115" ht="34.5" customHeight="1">
      <c r="A115" s="16" t="s">
        <v>2071</v>
      </c>
      <c r="B115" s="16" t="str">
        <f>IMAGE("https://lmztiles.s3.eu-west-1.amazonaws.com/Modern_Interiors_v41.3.4/1_Interiors/16x16/Theme_Sorter_Singles/11_Halloween_Singles/Halloween_Singles_115.png")</f>
        <v/>
      </c>
    </row>
    <row r="116" ht="34.5" customHeight="1">
      <c r="A116" s="16" t="s">
        <v>2072</v>
      </c>
      <c r="B116" s="16" t="str">
        <f>IMAGE("https://lmztiles.s3.eu-west-1.amazonaws.com/Modern_Interiors_v41.3.4/1_Interiors/16x16/Theme_Sorter_Singles/11_Halloween_Singles/Halloween_Singles_116.png")</f>
        <v/>
      </c>
    </row>
    <row r="117" ht="34.5" customHeight="1">
      <c r="A117" s="16" t="s">
        <v>2073</v>
      </c>
      <c r="B117" s="16" t="str">
        <f>IMAGE("https://lmztiles.s3.eu-west-1.amazonaws.com/Modern_Interiors_v41.3.4/1_Interiors/16x16/Theme_Sorter_Singles/11_Halloween_Singles/Halloween_Singles_117.png")</f>
        <v/>
      </c>
    </row>
    <row r="118" ht="34.5" customHeight="1">
      <c r="A118" s="16" t="s">
        <v>2074</v>
      </c>
      <c r="B118" s="16" t="str">
        <f>IMAGE("https://lmztiles.s3.eu-west-1.amazonaws.com/Modern_Interiors_v41.3.4/1_Interiors/16x16/Theme_Sorter_Singles/11_Halloween_Singles/Halloween_Singles_118.png")</f>
        <v/>
      </c>
    </row>
    <row r="119" ht="34.5" customHeight="1">
      <c r="A119" s="16" t="s">
        <v>2075</v>
      </c>
      <c r="B119" s="16" t="str">
        <f>IMAGE("https://lmztiles.s3.eu-west-1.amazonaws.com/Modern_Interiors_v41.3.4/1_Interiors/16x16/Theme_Sorter_Singles/11_Halloween_Singles/Halloween_Singles_119.png")</f>
        <v/>
      </c>
    </row>
    <row r="120" ht="34.5" customHeight="1">
      <c r="A120" s="16" t="s">
        <v>2076</v>
      </c>
      <c r="B120" s="16" t="str">
        <f>IMAGE("https://lmztiles.s3.eu-west-1.amazonaws.com/Modern_Interiors_v41.3.4/1_Interiors/16x16/Theme_Sorter_Singles/11_Halloween_Singles/Halloween_Singles_120.png")</f>
        <v/>
      </c>
    </row>
    <row r="121" ht="34.5" customHeight="1">
      <c r="A121" s="16" t="s">
        <v>2077</v>
      </c>
      <c r="B121" s="16" t="str">
        <f>IMAGE("https://lmztiles.s3.eu-west-1.amazonaws.com/Modern_Interiors_v41.3.4/1_Interiors/16x16/Theme_Sorter_Singles/11_Halloween_Singles/Halloween_Singles_121.png")</f>
        <v/>
      </c>
    </row>
    <row r="122" ht="34.5" customHeight="1">
      <c r="A122" s="16" t="s">
        <v>2078</v>
      </c>
      <c r="B122" s="16" t="str">
        <f>IMAGE("https://lmztiles.s3.eu-west-1.amazonaws.com/Modern_Interiors_v41.3.4/1_Interiors/16x16/Theme_Sorter_Singles/11_Halloween_Singles/Halloween_Singles_122.png")</f>
        <v/>
      </c>
    </row>
    <row r="123" ht="34.5" customHeight="1">
      <c r="A123" s="16" t="s">
        <v>2079</v>
      </c>
      <c r="B123" s="16" t="str">
        <f>IMAGE("https://lmztiles.s3.eu-west-1.amazonaws.com/Modern_Interiors_v41.3.4/1_Interiors/16x16/Theme_Sorter_Singles/11_Halloween_Singles/Halloween_Singles_123.png")</f>
        <v/>
      </c>
    </row>
    <row r="124" ht="34.5" customHeight="1">
      <c r="A124" s="16" t="s">
        <v>2080</v>
      </c>
      <c r="B124" s="16" t="str">
        <f>IMAGE("https://lmztiles.s3.eu-west-1.amazonaws.com/Modern_Interiors_v41.3.4/1_Interiors/16x16/Theme_Sorter_Singles/11_Halloween_Singles/Halloween_Singles_124.png")</f>
        <v/>
      </c>
    </row>
    <row r="125" ht="34.5" customHeight="1">
      <c r="A125" s="16" t="s">
        <v>2081</v>
      </c>
      <c r="B125" s="16" t="str">
        <f>IMAGE("https://lmztiles.s3.eu-west-1.amazonaws.com/Modern_Interiors_v41.3.4/1_Interiors/16x16/Theme_Sorter_Singles/11_Halloween_Singles/Halloween_Singles_125.png")</f>
        <v/>
      </c>
    </row>
    <row r="126" ht="34.5" customHeight="1">
      <c r="A126" s="16" t="s">
        <v>2082</v>
      </c>
      <c r="B126" s="16" t="str">
        <f>IMAGE("https://lmztiles.s3.eu-west-1.amazonaws.com/Modern_Interiors_v41.3.4/1_Interiors/16x16/Theme_Sorter_Singles/11_Halloween_Singles/Halloween_Singles_126.png")</f>
        <v/>
      </c>
    </row>
    <row r="127" ht="34.5" customHeight="1">
      <c r="A127" s="16" t="s">
        <v>2083</v>
      </c>
      <c r="B127" s="16" t="str">
        <f>IMAGE("https://lmztiles.s3.eu-west-1.amazonaws.com/Modern_Interiors_v41.3.4/1_Interiors/16x16/Theme_Sorter_Singles/11_Halloween_Singles/Halloween_Singles_127.png")</f>
        <v/>
      </c>
    </row>
    <row r="128" ht="34.5" customHeight="1">
      <c r="A128" s="16" t="s">
        <v>2084</v>
      </c>
      <c r="B128" s="16" t="str">
        <f>IMAGE("https://lmztiles.s3.eu-west-1.amazonaws.com/Modern_Interiors_v41.3.4/1_Interiors/16x16/Theme_Sorter_Singles/11_Halloween_Singles/Halloween_Singles_128.png")</f>
        <v/>
      </c>
    </row>
    <row r="129" ht="34.5" customHeight="1">
      <c r="A129" s="16" t="s">
        <v>2085</v>
      </c>
      <c r="B129" s="16" t="str">
        <f>IMAGE("https://lmztiles.s3.eu-west-1.amazonaws.com/Modern_Interiors_v41.3.4/1_Interiors/16x16/Theme_Sorter_Singles/11_Halloween_Singles/Halloween_Singles_129.png")</f>
        <v/>
      </c>
    </row>
    <row r="130" ht="34.5" customHeight="1">
      <c r="A130" s="16" t="s">
        <v>2086</v>
      </c>
      <c r="B130" s="16" t="str">
        <f>IMAGE("https://lmztiles.s3.eu-west-1.amazonaws.com/Modern_Interiors_v41.3.4/1_Interiors/16x16/Theme_Sorter_Singles/11_Halloween_Singles/Halloween_Singles_130.png")</f>
        <v/>
      </c>
    </row>
    <row r="131" ht="34.5" customHeight="1">
      <c r="A131" s="16" t="s">
        <v>2087</v>
      </c>
      <c r="B131" s="16" t="str">
        <f>IMAGE("https://lmztiles.s3.eu-west-1.amazonaws.com/Modern_Interiors_v41.3.4/1_Interiors/16x16/Theme_Sorter_Singles/11_Halloween_Singles/Halloween_Singles_131.png")</f>
        <v/>
      </c>
    </row>
    <row r="132" ht="34.5" customHeight="1">
      <c r="A132" s="16" t="s">
        <v>2088</v>
      </c>
      <c r="B132" s="16" t="str">
        <f>IMAGE("https://lmztiles.s3.eu-west-1.amazonaws.com/Modern_Interiors_v41.3.4/1_Interiors/16x16/Theme_Sorter_Singles/11_Halloween_Singles/Halloween_Singles_132.png")</f>
        <v/>
      </c>
    </row>
    <row r="133" ht="34.5" customHeight="1">
      <c r="A133" s="16" t="s">
        <v>2089</v>
      </c>
      <c r="B133" s="16" t="str">
        <f>IMAGE("https://lmztiles.s3.eu-west-1.amazonaws.com/Modern_Interiors_v41.3.4/1_Interiors/16x16/Theme_Sorter_Singles/11_Halloween_Singles/Halloween_Singles_133.png")</f>
        <v/>
      </c>
    </row>
    <row r="134" ht="34.5" customHeight="1">
      <c r="A134" s="16" t="s">
        <v>2090</v>
      </c>
      <c r="B134" s="16" t="str">
        <f>IMAGE("https://lmztiles.s3.eu-west-1.amazonaws.com/Modern_Interiors_v41.3.4/1_Interiors/16x16/Theme_Sorter_Singles/11_Halloween_Singles/Halloween_Singles_134.png")</f>
        <v/>
      </c>
    </row>
    <row r="135" ht="34.5" customHeight="1">
      <c r="A135" s="16" t="s">
        <v>2091</v>
      </c>
      <c r="B135" s="16" t="str">
        <f>IMAGE("https://lmztiles.s3.eu-west-1.amazonaws.com/Modern_Interiors_v41.3.4/1_Interiors/16x16/Theme_Sorter_Singles/11_Halloween_Singles/Halloween_Singles_135.png")</f>
        <v/>
      </c>
    </row>
    <row r="136" ht="34.5" customHeight="1">
      <c r="A136" s="16" t="s">
        <v>2092</v>
      </c>
      <c r="B136" s="16" t="str">
        <f>IMAGE("https://lmztiles.s3.eu-west-1.amazonaws.com/Modern_Interiors_v41.3.4/1_Interiors/16x16/Theme_Sorter_Singles/11_Halloween_Singles/Halloween_Singles_136.png")</f>
        <v/>
      </c>
    </row>
    <row r="137" ht="34.5" customHeight="1">
      <c r="A137" s="16" t="s">
        <v>2093</v>
      </c>
      <c r="B137" s="16" t="str">
        <f>IMAGE("https://lmztiles.s3.eu-west-1.amazonaws.com/Modern_Interiors_v41.3.4/1_Interiors/16x16/Theme_Sorter_Singles/11_Halloween_Singles/Halloween_Singles_137.png")</f>
        <v/>
      </c>
    </row>
    <row r="138" ht="34.5" customHeight="1">
      <c r="A138" s="16" t="s">
        <v>2094</v>
      </c>
      <c r="B138" s="16" t="str">
        <f>IMAGE("https://lmztiles.s3.eu-west-1.amazonaws.com/Modern_Interiors_v41.3.4/1_Interiors/16x16/Theme_Sorter_Singles/11_Halloween_Singles/Halloween_Singles_138.png")</f>
        <v/>
      </c>
    </row>
    <row r="139" ht="34.5" customHeight="1">
      <c r="A139" s="16" t="s">
        <v>2095</v>
      </c>
      <c r="B139" s="16" t="str">
        <f>IMAGE("https://lmztiles.s3.eu-west-1.amazonaws.com/Modern_Interiors_v41.3.4/1_Interiors/16x16/Theme_Sorter_Singles/11_Halloween_Singles/Halloween_Singles_139.png")</f>
        <v/>
      </c>
    </row>
    <row r="140" ht="34.5" customHeight="1">
      <c r="A140" s="16" t="s">
        <v>2096</v>
      </c>
      <c r="B140" s="16" t="str">
        <f>IMAGE("https://lmztiles.s3.eu-west-1.amazonaws.com/Modern_Interiors_v41.3.4/1_Interiors/16x16/Theme_Sorter_Singles/11_Halloween_Singles/Halloween_Singles_140.png")</f>
        <v/>
      </c>
    </row>
    <row r="141" ht="34.5" customHeight="1">
      <c r="A141" s="16" t="s">
        <v>2097</v>
      </c>
      <c r="B141" s="16" t="str">
        <f>IMAGE("https://lmztiles.s3.eu-west-1.amazonaws.com/Modern_Interiors_v41.3.4/1_Interiors/16x16/Theme_Sorter_Singles/11_Halloween_Singles/Halloween_Singles_141.png")</f>
        <v/>
      </c>
    </row>
    <row r="142" ht="34.5" customHeight="1">
      <c r="A142" s="16" t="s">
        <v>2098</v>
      </c>
      <c r="B142" s="16" t="str">
        <f>IMAGE("https://lmztiles.s3.eu-west-1.amazonaws.com/Modern_Interiors_v41.3.4/1_Interiors/16x16/Theme_Sorter_Singles/11_Halloween_Singles/Halloween_Singles_142.png")</f>
        <v/>
      </c>
    </row>
    <row r="143" ht="34.5" customHeight="1">
      <c r="A143" s="16" t="s">
        <v>2099</v>
      </c>
      <c r="B143" s="16" t="str">
        <f>IMAGE("https://lmztiles.s3.eu-west-1.amazonaws.com/Modern_Interiors_v41.3.4/1_Interiors/16x16/Theme_Sorter_Singles/11_Halloween_Singles/Halloween_Singles_143.png")</f>
        <v/>
      </c>
    </row>
    <row r="144" ht="34.5" customHeight="1">
      <c r="A144" s="16" t="s">
        <v>2100</v>
      </c>
      <c r="B144" s="16" t="str">
        <f>IMAGE("https://lmztiles.s3.eu-west-1.amazonaws.com/Modern_Interiors_v41.3.4/1_Interiors/16x16/Theme_Sorter_Singles/11_Halloween_Singles/Halloween_Singles_144.png")</f>
        <v/>
      </c>
    </row>
    <row r="145" ht="34.5" customHeight="1">
      <c r="A145" s="16" t="s">
        <v>2101</v>
      </c>
      <c r="B145" s="16" t="str">
        <f>IMAGE("https://lmztiles.s3.eu-west-1.amazonaws.com/Modern_Interiors_v41.3.4/1_Interiors/16x16/Theme_Sorter_Singles/11_Halloween_Singles/Halloween_Singles_145.png")</f>
        <v/>
      </c>
    </row>
    <row r="146" ht="34.5" customHeight="1">
      <c r="A146" s="16" t="s">
        <v>2102</v>
      </c>
      <c r="B146" s="16" t="str">
        <f>IMAGE("https://lmztiles.s3.eu-west-1.amazonaws.com/Modern_Interiors_v41.3.4/1_Interiors/16x16/Theme_Sorter_Singles/11_Halloween_Singles/Halloween_Singles_146.png")</f>
        <v/>
      </c>
    </row>
    <row r="147" ht="34.5" customHeight="1">
      <c r="A147" s="16" t="s">
        <v>2103</v>
      </c>
      <c r="B147" s="16" t="str">
        <f>IMAGE("https://lmztiles.s3.eu-west-1.amazonaws.com/Modern_Interiors_v41.3.4/1_Interiors/16x16/Theme_Sorter_Singles/11_Halloween_Singles/Halloween_Singles_147.png")</f>
        <v/>
      </c>
    </row>
    <row r="148" ht="34.5" customHeight="1">
      <c r="A148" s="16" t="s">
        <v>2104</v>
      </c>
      <c r="B148" s="16" t="str">
        <f>IMAGE("https://lmztiles.s3.eu-west-1.amazonaws.com/Modern_Interiors_v41.3.4/1_Interiors/16x16/Theme_Sorter_Singles/11_Halloween_Singles/Halloween_Singles_148.png")</f>
        <v/>
      </c>
    </row>
    <row r="149" ht="34.5" customHeight="1">
      <c r="A149" s="16" t="s">
        <v>2105</v>
      </c>
      <c r="B149" s="16" t="str">
        <f>IMAGE("https://lmztiles.s3.eu-west-1.amazonaws.com/Modern_Interiors_v41.3.4/1_Interiors/16x16/Theme_Sorter_Singles/11_Halloween_Singles/Halloween_Singles_149.png")</f>
        <v/>
      </c>
    </row>
    <row r="150" ht="34.5" customHeight="1">
      <c r="A150" s="16" t="s">
        <v>2106</v>
      </c>
      <c r="B150" s="16" t="str">
        <f>IMAGE("https://lmztiles.s3.eu-west-1.amazonaws.com/Modern_Interiors_v41.3.4/1_Interiors/16x16/Theme_Sorter_Singles/11_Halloween_Singles/Halloween_Singles_150.png")</f>
        <v/>
      </c>
    </row>
    <row r="151" ht="34.5" customHeight="1">
      <c r="A151" s="16" t="s">
        <v>2107</v>
      </c>
      <c r="B151" s="16" t="str">
        <f>IMAGE("https://lmztiles.s3.eu-west-1.amazonaws.com/Modern_Interiors_v41.3.4/1_Interiors/16x16/Theme_Sorter_Singles/11_Halloween_Singles/Halloween_Singles_151.png")</f>
        <v/>
      </c>
    </row>
    <row r="152" ht="34.5" customHeight="1">
      <c r="A152" s="16" t="s">
        <v>2108</v>
      </c>
      <c r="B152" s="16" t="str">
        <f>IMAGE("https://lmztiles.s3.eu-west-1.amazonaws.com/Modern_Interiors_v41.3.4/1_Interiors/16x16/Theme_Sorter_Singles/11_Halloween_Singles/Halloween_Singles_152.png")</f>
        <v/>
      </c>
    </row>
    <row r="153" ht="34.5" customHeight="1">
      <c r="A153" s="16" t="s">
        <v>2109</v>
      </c>
      <c r="B153" s="16" t="str">
        <f>IMAGE("https://lmztiles.s3.eu-west-1.amazonaws.com/Modern_Interiors_v41.3.4/1_Interiors/16x16/Theme_Sorter_Singles/11_Halloween_Singles/Halloween_Singles_153.png")</f>
        <v/>
      </c>
    </row>
    <row r="154" ht="34.5" customHeight="1">
      <c r="A154" s="16" t="s">
        <v>2110</v>
      </c>
      <c r="B154" s="16" t="str">
        <f>IMAGE("https://lmztiles.s3.eu-west-1.amazonaws.com/Modern_Interiors_v41.3.4/1_Interiors/16x16/Theme_Sorter_Singles/11_Halloween_Singles/Halloween_Singles_154.png")</f>
        <v/>
      </c>
    </row>
    <row r="155" ht="34.5" customHeight="1">
      <c r="A155" s="16" t="s">
        <v>2111</v>
      </c>
      <c r="B155" s="16" t="str">
        <f>IMAGE("https://lmztiles.s3.eu-west-1.amazonaws.com/Modern_Interiors_v41.3.4/1_Interiors/16x16/Theme_Sorter_Singles/11_Halloween_Singles/Halloween_Singles_155.png")</f>
        <v/>
      </c>
    </row>
    <row r="156" ht="34.5" customHeight="1">
      <c r="A156" s="16" t="s">
        <v>2112</v>
      </c>
      <c r="B156" s="16" t="str">
        <f>IMAGE("https://lmztiles.s3.eu-west-1.amazonaws.com/Modern_Interiors_v41.3.4/1_Interiors/16x16/Theme_Sorter_Singles/11_Halloween_Singles/Halloween_Singles_156.png")</f>
        <v/>
      </c>
    </row>
    <row r="157" ht="34.5" customHeight="1">
      <c r="A157" s="16" t="s">
        <v>2113</v>
      </c>
      <c r="B157" s="16" t="str">
        <f>IMAGE("https://lmztiles.s3.eu-west-1.amazonaws.com/Modern_Interiors_v41.3.4/1_Interiors/16x16/Theme_Sorter_Singles/11_Halloween_Singles/Halloween_Singles_157.png")</f>
        <v/>
      </c>
    </row>
    <row r="158" ht="34.5" customHeight="1">
      <c r="A158" s="16" t="s">
        <v>2114</v>
      </c>
      <c r="B158" s="16" t="str">
        <f>IMAGE("https://lmztiles.s3.eu-west-1.amazonaws.com/Modern_Interiors_v41.3.4/1_Interiors/16x16/Theme_Sorter_Singles/11_Halloween_Singles/Halloween_Singles_158.png")</f>
        <v/>
      </c>
    </row>
    <row r="159" ht="34.5" customHeight="1">
      <c r="A159" s="16" t="s">
        <v>2115</v>
      </c>
      <c r="B159" s="16" t="str">
        <f>IMAGE("https://lmztiles.s3.eu-west-1.amazonaws.com/Modern_Interiors_v41.3.4/1_Interiors/16x16/Theme_Sorter_Singles/11_Halloween_Singles/Halloween_Singles_159.png")</f>
        <v/>
      </c>
    </row>
    <row r="160" ht="34.5" customHeight="1">
      <c r="A160" s="16" t="s">
        <v>2116</v>
      </c>
      <c r="B160" s="16" t="str">
        <f>IMAGE("https://lmztiles.s3.eu-west-1.amazonaws.com/Modern_Interiors_v41.3.4/1_Interiors/16x16/Theme_Sorter_Singles/11_Halloween_Singles/Halloween_Singles_160.png")</f>
        <v/>
      </c>
    </row>
    <row r="161" ht="34.5" customHeight="1">
      <c r="A161" s="16" t="s">
        <v>2117</v>
      </c>
      <c r="B161" s="16" t="str">
        <f>IMAGE("https://lmztiles.s3.eu-west-1.amazonaws.com/Modern_Interiors_v41.3.4/1_Interiors/16x16/Theme_Sorter_Singles/11_Halloween_Singles/Halloween_Singles_161.png")</f>
        <v/>
      </c>
    </row>
    <row r="162" ht="34.5" customHeight="1">
      <c r="A162" s="16" t="s">
        <v>2118</v>
      </c>
      <c r="B162" s="16" t="str">
        <f>IMAGE("https://lmztiles.s3.eu-west-1.amazonaws.com/Modern_Interiors_v41.3.4/1_Interiors/16x16/Theme_Sorter_Singles/11_Halloween_Singles/Halloween_Singles_162.png")</f>
        <v/>
      </c>
    </row>
    <row r="163" ht="34.5" customHeight="1">
      <c r="A163" s="16" t="s">
        <v>2119</v>
      </c>
      <c r="B163" s="16" t="str">
        <f>IMAGE("https://lmztiles.s3.eu-west-1.amazonaws.com/Modern_Interiors_v41.3.4/1_Interiors/16x16/Theme_Sorter_Singles/11_Halloween_Singles/Halloween_Singles_163.png")</f>
        <v/>
      </c>
    </row>
    <row r="164" ht="34.5" customHeight="1">
      <c r="A164" s="16" t="s">
        <v>2120</v>
      </c>
      <c r="B164" s="16" t="str">
        <f>IMAGE("https://lmztiles.s3.eu-west-1.amazonaws.com/Modern_Interiors_v41.3.4/1_Interiors/16x16/Theme_Sorter_Singles/11_Halloween_Singles/Halloween_Singles_164.png")</f>
        <v/>
      </c>
    </row>
    <row r="165" ht="34.5" customHeight="1">
      <c r="A165" s="16" t="s">
        <v>2121</v>
      </c>
      <c r="B165" s="16" t="str">
        <f>IMAGE("https://lmztiles.s3.eu-west-1.amazonaws.com/Modern_Interiors_v41.3.4/1_Interiors/16x16/Theme_Sorter_Singles/11_Halloween_Singles/Halloween_Singles_165.png")</f>
        <v/>
      </c>
    </row>
    <row r="166" ht="34.5" customHeight="1">
      <c r="A166" s="16" t="s">
        <v>2122</v>
      </c>
      <c r="B166" s="16" t="str">
        <f>IMAGE("https://lmztiles.s3.eu-west-1.amazonaws.com/Modern_Interiors_v41.3.4/1_Interiors/16x16/Theme_Sorter_Singles/11_Halloween_Singles/Halloween_Singles_166.png")</f>
        <v/>
      </c>
    </row>
    <row r="167" ht="34.5" customHeight="1">
      <c r="A167" s="16" t="s">
        <v>2123</v>
      </c>
      <c r="B167" s="16" t="str">
        <f>IMAGE("https://lmztiles.s3.eu-west-1.amazonaws.com/Modern_Interiors_v41.3.4/1_Interiors/16x16/Theme_Sorter_Singles/11_Halloween_Singles/Halloween_Singles_167.png")</f>
        <v/>
      </c>
    </row>
    <row r="168" ht="34.5" customHeight="1">
      <c r="A168" s="16" t="s">
        <v>2124</v>
      </c>
      <c r="B168" s="16" t="str">
        <f>IMAGE("https://lmztiles.s3.eu-west-1.amazonaws.com/Modern_Interiors_v41.3.4/1_Interiors/16x16/Theme_Sorter_Singles/11_Halloween_Singles/Halloween_Singles_168.png")</f>
        <v/>
      </c>
    </row>
    <row r="169" ht="34.5" customHeight="1">
      <c r="A169" s="16" t="s">
        <v>2125</v>
      </c>
      <c r="B169" s="16" t="str">
        <f>IMAGE("https://lmztiles.s3.eu-west-1.amazonaws.com/Modern_Interiors_v41.3.4/1_Interiors/16x16/Theme_Sorter_Singles/11_Halloween_Singles/Halloween_Singles_169.png")</f>
        <v/>
      </c>
    </row>
    <row r="170" ht="34.5" customHeight="1">
      <c r="A170" s="16" t="s">
        <v>2126</v>
      </c>
      <c r="B170" s="16" t="str">
        <f>IMAGE("https://lmztiles.s3.eu-west-1.amazonaws.com/Modern_Interiors_v41.3.4/1_Interiors/16x16/Theme_Sorter_Singles/11_Halloween_Singles/Halloween_Singles_171.png")</f>
        <v/>
      </c>
    </row>
    <row r="171" ht="34.5" customHeight="1">
      <c r="A171" s="16" t="s">
        <v>2127</v>
      </c>
      <c r="B171" s="16" t="str">
        <f>IMAGE("https://lmztiles.s3.eu-west-1.amazonaws.com/Modern_Interiors_v41.3.4/1_Interiors/16x16/Theme_Sorter_Singles/11_Halloween_Singles/Halloween_Singles_172.png")</f>
        <v/>
      </c>
    </row>
    <row r="172" ht="34.5" customHeight="1">
      <c r="A172" s="16" t="s">
        <v>2128</v>
      </c>
      <c r="B172" s="16" t="str">
        <f>IMAGE("https://lmztiles.s3.eu-west-1.amazonaws.com/Modern_Interiors_v41.3.4/1_Interiors/16x16/Theme_Sorter_Singles/11_Halloween_Singles/Halloween_Singles_173.png")</f>
        <v/>
      </c>
    </row>
    <row r="173" ht="34.5" customHeight="1">
      <c r="A173" s="16" t="s">
        <v>2129</v>
      </c>
      <c r="B173" s="16" t="str">
        <f>IMAGE("https://lmztiles.s3.eu-west-1.amazonaws.com/Modern_Interiors_v41.3.4/1_Interiors/16x16/Theme_Sorter_Singles/11_Halloween_Singles/Halloween_Singles_174.png")</f>
        <v/>
      </c>
    </row>
    <row r="174" ht="34.5" customHeight="1">
      <c r="A174" s="16" t="s">
        <v>2130</v>
      </c>
      <c r="B174" s="16" t="str">
        <f>IMAGE("https://lmztiles.s3.eu-west-1.amazonaws.com/Modern_Interiors_v41.3.4/1_Interiors/16x16/Theme_Sorter_Singles/11_Halloween_Singles/Halloween_Singles_175.png")</f>
        <v/>
      </c>
    </row>
    <row r="175" ht="34.5" customHeight="1">
      <c r="A175" s="16" t="s">
        <v>2131</v>
      </c>
      <c r="B175" s="16" t="str">
        <f>IMAGE("https://lmztiles.s3.eu-west-1.amazonaws.com/Modern_Interiors_v41.3.4/1_Interiors/16x16/Theme_Sorter_Singles/11_Halloween_Singles/Halloween_Singles_176.png")</f>
        <v/>
      </c>
    </row>
    <row r="176" ht="34.5" customHeight="1">
      <c r="A176" s="16" t="s">
        <v>2132</v>
      </c>
      <c r="B176" s="16" t="str">
        <f>IMAGE("https://lmztiles.s3.eu-west-1.amazonaws.com/Modern_Interiors_v41.3.4/1_Interiors/16x16/Theme_Sorter_Singles/11_Halloween_Singles/Halloween_Singles_177.png")</f>
        <v/>
      </c>
    </row>
    <row r="177" ht="34.5" customHeight="1">
      <c r="A177" s="16" t="s">
        <v>2133</v>
      </c>
      <c r="B177" s="16" t="str">
        <f>IMAGE("https://lmztiles.s3.eu-west-1.amazonaws.com/Modern_Interiors_v41.3.4/1_Interiors/16x16/Theme_Sorter_Singles/11_Halloween_Singles/Halloween_Singles_178.png")</f>
        <v/>
      </c>
    </row>
    <row r="178" ht="34.5" customHeight="1">
      <c r="A178" s="16" t="s">
        <v>2134</v>
      </c>
      <c r="B178" s="16" t="str">
        <f>IMAGE("https://lmztiles.s3.eu-west-1.amazonaws.com/Modern_Interiors_v41.3.4/1_Interiors/16x16/Theme_Sorter_Singles/11_Halloween_Singles/Halloween_Singles_179.png")</f>
        <v/>
      </c>
    </row>
    <row r="179" ht="34.5" customHeight="1">
      <c r="A179" s="16" t="s">
        <v>2135</v>
      </c>
      <c r="B179" s="16" t="str">
        <f>IMAGE("https://lmztiles.s3.eu-west-1.amazonaws.com/Modern_Interiors_v41.3.4/1_Interiors/16x16/Theme_Sorter_Singles/11_Halloween_Singles/Halloween_Singles_180.png")</f>
        <v/>
      </c>
    </row>
    <row r="180" ht="34.5" customHeight="1">
      <c r="A180" s="16" t="s">
        <v>2136</v>
      </c>
      <c r="B180" s="16" t="str">
        <f>IMAGE("https://lmztiles.s3.eu-west-1.amazonaws.com/Modern_Interiors_v41.3.4/1_Interiors/16x16/Theme_Sorter_Singles/11_Halloween_Singles/Halloween_Singles_181.png")</f>
        <v/>
      </c>
    </row>
    <row r="181" ht="34.5" customHeight="1">
      <c r="A181" s="16" t="s">
        <v>2137</v>
      </c>
      <c r="B181" s="16" t="str">
        <f>IMAGE("https://lmztiles.s3.eu-west-1.amazonaws.com/Modern_Interiors_v41.3.4/1_Interiors/16x16/Theme_Sorter_Singles/11_Halloween_Singles/Halloween_Singles_182.png")</f>
        <v/>
      </c>
    </row>
    <row r="182" ht="34.5" customHeight="1">
      <c r="A182" s="16" t="s">
        <v>2138</v>
      </c>
      <c r="B182" s="16" t="str">
        <f>IMAGE("https://lmztiles.s3.eu-west-1.amazonaws.com/Modern_Interiors_v41.3.4/1_Interiors/16x16/Theme_Sorter_Singles/11_Halloween_Singles/Halloween_Singles_183.png")</f>
        <v/>
      </c>
    </row>
    <row r="183" ht="34.5" customHeight="1">
      <c r="A183" s="16" t="s">
        <v>2139</v>
      </c>
      <c r="B183" s="16" t="str">
        <f>IMAGE("https://lmztiles.s3.eu-west-1.amazonaws.com/Modern_Interiors_v41.3.4/1_Interiors/16x16/Theme_Sorter_Singles/11_Halloween_Singles/Halloween_Singles_184.png")</f>
        <v/>
      </c>
    </row>
    <row r="184" ht="34.5" customHeight="1">
      <c r="A184" s="16" t="s">
        <v>2140</v>
      </c>
      <c r="B184" s="16" t="str">
        <f>IMAGE("https://lmztiles.s3.eu-west-1.amazonaws.com/Modern_Interiors_v41.3.4/1_Interiors/16x16/Theme_Sorter_Singles/11_Halloween_Singles/Halloween_Singles_185.png")</f>
        <v/>
      </c>
    </row>
    <row r="185" ht="34.5" customHeight="1">
      <c r="A185" s="16" t="s">
        <v>2141</v>
      </c>
      <c r="B185" s="16" t="str">
        <f>IMAGE("https://lmztiles.s3.eu-west-1.amazonaws.com/Modern_Interiors_v41.3.4/1_Interiors/16x16/Theme_Sorter_Singles/11_Halloween_Singles/Halloween_Singles_186.png")</f>
        <v/>
      </c>
    </row>
    <row r="186" ht="34.5" customHeight="1">
      <c r="A186" s="16" t="s">
        <v>2142</v>
      </c>
      <c r="B186" s="16" t="str">
        <f>IMAGE("https://lmztiles.s3.eu-west-1.amazonaws.com/Modern_Interiors_v41.3.4/1_Interiors/16x16/Theme_Sorter_Singles/11_Halloween_Singles/Halloween_Singles_187.png")</f>
        <v/>
      </c>
    </row>
    <row r="187" ht="34.5" customHeight="1">
      <c r="A187" s="16" t="s">
        <v>2143</v>
      </c>
      <c r="B187" s="16" t="str">
        <f>IMAGE("https://lmztiles.s3.eu-west-1.amazonaws.com/Modern_Interiors_v41.3.4/1_Interiors/16x16/Theme_Sorter_Singles/11_Halloween_Singles/Halloween_Singles_188.png")</f>
        <v/>
      </c>
    </row>
    <row r="188" ht="34.5" customHeight="1">
      <c r="A188" s="16" t="s">
        <v>2144</v>
      </c>
      <c r="B188" s="16" t="str">
        <f>IMAGE("https://lmztiles.s3.eu-west-1.amazonaws.com/Modern_Interiors_v41.3.4/1_Interiors/16x16/Theme_Sorter_Singles/11_Halloween_Singles/Halloween_Singles_189.png")</f>
        <v/>
      </c>
    </row>
    <row r="189" ht="34.5" customHeight="1">
      <c r="A189" s="16" t="s">
        <v>2145</v>
      </c>
      <c r="B189" s="16" t="str">
        <f>IMAGE("https://lmztiles.s3.eu-west-1.amazonaws.com/Modern_Interiors_v41.3.4/1_Interiors/16x16/Theme_Sorter_Singles/11_Halloween_Singles/Halloween_Singles_190.png")</f>
        <v/>
      </c>
    </row>
    <row r="190" ht="34.5" customHeight="1">
      <c r="A190" s="16" t="s">
        <v>2146</v>
      </c>
      <c r="B190" s="16" t="str">
        <f>IMAGE("https://lmztiles.s3.eu-west-1.amazonaws.com/Modern_Interiors_v41.3.4/1_Interiors/16x16/Theme_Sorter_Singles/11_Halloween_Singles/Halloween_Singles_191.png")</f>
        <v/>
      </c>
    </row>
    <row r="191" ht="34.5" customHeight="1">
      <c r="A191" s="16" t="s">
        <v>2147</v>
      </c>
      <c r="B191" s="16" t="str">
        <f>IMAGE("https://lmztiles.s3.eu-west-1.amazonaws.com/Modern_Interiors_v41.3.4/1_Interiors/16x16/Theme_Sorter_Singles/11_Halloween_Singles/Halloween_Singles_192.png")</f>
        <v/>
      </c>
    </row>
    <row r="192" ht="34.5" customHeight="1">
      <c r="A192" s="16" t="s">
        <v>2148</v>
      </c>
      <c r="B192" s="16" t="str">
        <f>IMAGE("https://lmztiles.s3.eu-west-1.amazonaws.com/Modern_Interiors_v41.3.4/1_Interiors/16x16/Theme_Sorter_Singles/11_Halloween_Singles/Halloween_Singles_193.png")</f>
        <v/>
      </c>
    </row>
    <row r="193" ht="34.5" customHeight="1">
      <c r="A193" s="16" t="s">
        <v>2149</v>
      </c>
      <c r="B193" s="16" t="str">
        <f>IMAGE("https://lmztiles.s3.eu-west-1.amazonaws.com/Modern_Interiors_v41.3.4/1_Interiors/16x16/Theme_Sorter_Singles/11_Halloween_Singles/Halloween_Singles_194.png")</f>
        <v/>
      </c>
    </row>
    <row r="194" ht="34.5" customHeight="1">
      <c r="A194" s="16" t="s">
        <v>2150</v>
      </c>
      <c r="B194" s="16" t="str">
        <f>IMAGE("https://lmztiles.s3.eu-west-1.amazonaws.com/Modern_Interiors_v41.3.4/1_Interiors/16x16/Theme_Sorter_Singles/11_Halloween_Singles/Halloween_Singles_195.png")</f>
        <v/>
      </c>
    </row>
    <row r="195" ht="34.5" customHeight="1">
      <c r="A195" s="16" t="s">
        <v>2151</v>
      </c>
      <c r="B195" s="16" t="str">
        <f>IMAGE("https://lmztiles.s3.eu-west-1.amazonaws.com/Modern_Interiors_v41.3.4/1_Interiors/16x16/Theme_Sorter_Singles/11_Halloween_Singles/Halloween_Singles_196.png")</f>
        <v/>
      </c>
    </row>
    <row r="196" ht="34.5" customHeight="1">
      <c r="A196" s="16" t="s">
        <v>2152</v>
      </c>
      <c r="B196" s="16" t="str">
        <f>IMAGE("https://lmztiles.s3.eu-west-1.amazonaws.com/Modern_Interiors_v41.3.4/1_Interiors/16x16/Theme_Sorter_Singles/11_Halloween_Singles/Halloween_Singles_197.png")</f>
        <v/>
      </c>
    </row>
    <row r="197" ht="34.5" customHeight="1">
      <c r="A197" s="16" t="s">
        <v>2153</v>
      </c>
      <c r="B197" s="16" t="str">
        <f>IMAGE("https://lmztiles.s3.eu-west-1.amazonaws.com/Modern_Interiors_v41.3.4/1_Interiors/16x16/Theme_Sorter_Singles/11_Halloween_Singles/Halloween_Singles_198.png")</f>
        <v/>
      </c>
    </row>
    <row r="198" ht="34.5" customHeight="1">
      <c r="A198" s="16" t="s">
        <v>2154</v>
      </c>
      <c r="B198" s="16" t="str">
        <f>IMAGE("https://lmztiles.s3.eu-west-1.amazonaws.com/Modern_Interiors_v41.3.4/1_Interiors/16x16/Theme_Sorter_Singles/11_Halloween_Singles/Halloween_Singles_199.png")</f>
        <v/>
      </c>
    </row>
    <row r="199" ht="34.5" customHeight="1">
      <c r="A199" s="16" t="s">
        <v>2155</v>
      </c>
      <c r="B199" s="16" t="str">
        <f>IMAGE("https://lmztiles.s3.eu-west-1.amazonaws.com/Modern_Interiors_v41.3.4/1_Interiors/16x16/Theme_Sorter_Singles/11_Halloween_Singles/Halloween_Singles_200.png")</f>
        <v/>
      </c>
    </row>
    <row r="200" ht="34.5" customHeight="1">
      <c r="A200" s="16" t="s">
        <v>2156</v>
      </c>
      <c r="B200" s="16" t="str">
        <f>IMAGE("https://lmztiles.s3.eu-west-1.amazonaws.com/Modern_Interiors_v41.3.4/1_Interiors/16x16/Theme_Sorter_Singles/11_Halloween_Singles/Halloween_Singles_201.png")</f>
        <v/>
      </c>
    </row>
    <row r="201" ht="34.5" customHeight="1">
      <c r="A201" s="16" t="s">
        <v>2157</v>
      </c>
      <c r="B201" s="16" t="str">
        <f>IMAGE("https://lmztiles.s3.eu-west-1.amazonaws.com/Modern_Interiors_v41.3.4/1_Interiors/16x16/Theme_Sorter_Singles/11_Halloween_Singles/Halloween_Singles_202.png")</f>
        <v/>
      </c>
    </row>
    <row r="202" ht="34.5" customHeight="1">
      <c r="A202" s="16" t="s">
        <v>2158</v>
      </c>
      <c r="B202" s="16" t="str">
        <f>IMAGE("https://lmztiles.s3.eu-west-1.amazonaws.com/Modern_Interiors_v41.3.4/1_Interiors/16x16/Theme_Sorter_Singles/11_Halloween_Singles/Halloween_Singles_203.png")</f>
        <v/>
      </c>
    </row>
    <row r="203" ht="34.5" customHeight="1">
      <c r="A203" s="16" t="s">
        <v>2159</v>
      </c>
      <c r="B203" s="16" t="str">
        <f>IMAGE("https://lmztiles.s3.eu-west-1.amazonaws.com/Modern_Interiors_v41.3.4/1_Interiors/16x16/Theme_Sorter_Singles/11_Halloween_Singles/Halloween_Singles_204.png")</f>
        <v/>
      </c>
    </row>
    <row r="204" ht="34.5" customHeight="1">
      <c r="A204" s="16" t="s">
        <v>2160</v>
      </c>
      <c r="B204" s="16" t="str">
        <f>IMAGE("https://lmztiles.s3.eu-west-1.amazonaws.com/Modern_Interiors_v41.3.4/1_Interiors/16x16/Theme_Sorter_Singles/11_Halloween_Singles/Halloween_Singles_205.png")</f>
        <v/>
      </c>
    </row>
    <row r="205" ht="34.5" customHeight="1">
      <c r="A205" s="16" t="s">
        <v>2161</v>
      </c>
      <c r="B205" s="16" t="str">
        <f>IMAGE("https://lmztiles.s3.eu-west-1.amazonaws.com/Modern_Interiors_v41.3.4/1_Interiors/16x16/Theme_Sorter_Singles/11_Halloween_Singles/Halloween_Singles_206.png")</f>
        <v/>
      </c>
    </row>
    <row r="206" ht="34.5" customHeight="1">
      <c r="A206" s="16" t="s">
        <v>2162</v>
      </c>
      <c r="B206" s="16" t="str">
        <f>IMAGE("https://lmztiles.s3.eu-west-1.amazonaws.com/Modern_Interiors_v41.3.4/1_Interiors/16x16/Theme_Sorter_Singles/11_Halloween_Singles/Halloween_Singles_207.png")</f>
        <v/>
      </c>
    </row>
    <row r="207" ht="34.5" customHeight="1">
      <c r="A207" s="16" t="s">
        <v>2163</v>
      </c>
      <c r="B207" s="16" t="str">
        <f>IMAGE("https://lmztiles.s3.eu-west-1.amazonaws.com/Modern_Interiors_v41.3.4/1_Interiors/16x16/Theme_Sorter_Singles/11_Halloween_Singles/Halloween_Singles_208.png")</f>
        <v/>
      </c>
    </row>
    <row r="208" ht="34.5" customHeight="1">
      <c r="A208" s="16" t="s">
        <v>2164</v>
      </c>
      <c r="B208" s="16" t="str">
        <f>IMAGE("https://lmztiles.s3.eu-west-1.amazonaws.com/Modern_Interiors_v41.3.4/1_Interiors/16x16/Theme_Sorter_Singles/11_Halloween_Singles/Halloween_Singles_209.png")</f>
        <v/>
      </c>
    </row>
    <row r="209" ht="34.5" customHeight="1">
      <c r="A209" s="16" t="s">
        <v>2165</v>
      </c>
      <c r="B209" s="16" t="str">
        <f>IMAGE("https://lmztiles.s3.eu-west-1.amazonaws.com/Modern_Interiors_v41.3.4/1_Interiors/16x16/Theme_Sorter_Singles/11_Halloween_Singles/Halloween_Singles_210.png")</f>
        <v/>
      </c>
    </row>
    <row r="210" ht="34.5" customHeight="1">
      <c r="A210" s="16" t="s">
        <v>2166</v>
      </c>
      <c r="B210" s="16" t="str">
        <f>IMAGE("https://lmztiles.s3.eu-west-1.amazonaws.com/Modern_Interiors_v41.3.4/1_Interiors/16x16/Theme_Sorter_Singles/11_Halloween_Singles/Halloween_Singles_211.png")</f>
        <v/>
      </c>
    </row>
    <row r="211" ht="34.5" customHeight="1">
      <c r="A211" s="16" t="s">
        <v>2167</v>
      </c>
      <c r="B211" s="16" t="str">
        <f>IMAGE("https://lmztiles.s3.eu-west-1.amazonaws.com/Modern_Interiors_v41.3.4/1_Interiors/16x16/Theme_Sorter_Singles/11_Halloween_Singles/Halloween_Singles_212.png")</f>
        <v/>
      </c>
    </row>
    <row r="212" ht="34.5" customHeight="1">
      <c r="A212" s="16" t="s">
        <v>2168</v>
      </c>
      <c r="B212" s="16" t="str">
        <f>IMAGE("https://lmztiles.s3.eu-west-1.amazonaws.com/Modern_Interiors_v41.3.4/1_Interiors/16x16/Theme_Sorter_Singles/11_Halloween_Singles/Halloween_Singles_213.png")</f>
        <v/>
      </c>
    </row>
    <row r="213" ht="34.5" customHeight="1">
      <c r="A213" s="16" t="s">
        <v>2169</v>
      </c>
      <c r="B213" s="16" t="str">
        <f>IMAGE("https://lmztiles.s3.eu-west-1.amazonaws.com/Modern_Interiors_v41.3.4/1_Interiors/16x16/Theme_Sorter_Singles/11_Halloween_Singles/Halloween_Singles_214.png")</f>
        <v/>
      </c>
    </row>
    <row r="214" ht="34.5" customHeight="1">
      <c r="A214" s="16" t="s">
        <v>2170</v>
      </c>
      <c r="B214" s="16" t="str">
        <f>IMAGE("https://lmztiles.s3.eu-west-1.amazonaws.com/Modern_Interiors_v41.3.4/1_Interiors/16x16/Theme_Sorter_Singles/11_Halloween_Singles/Halloween_Singles_215.png")</f>
        <v/>
      </c>
    </row>
    <row r="215" ht="34.5" customHeight="1">
      <c r="A215" s="16" t="s">
        <v>2171</v>
      </c>
      <c r="B215" s="16" t="str">
        <f>IMAGE("https://lmztiles.s3.eu-west-1.amazonaws.com/Modern_Interiors_v41.3.4/1_Interiors/16x16/Theme_Sorter_Singles/11_Halloween_Singles/Halloween_Singles_216.png")</f>
        <v/>
      </c>
    </row>
    <row r="216" ht="34.5" customHeight="1">
      <c r="A216" s="16" t="s">
        <v>2172</v>
      </c>
      <c r="B216" s="16" t="str">
        <f>IMAGE("https://lmztiles.s3.eu-west-1.amazonaws.com/Modern_Interiors_v41.3.4/1_Interiors/16x16/Theme_Sorter_Singles/11_Halloween_Singles/Halloween_Singles_217.png")</f>
        <v/>
      </c>
    </row>
    <row r="217" ht="34.5" customHeight="1">
      <c r="A217" s="16" t="s">
        <v>2173</v>
      </c>
      <c r="B217" s="16" t="str">
        <f>IMAGE("https://lmztiles.s3.eu-west-1.amazonaws.com/Modern_Interiors_v41.3.4/1_Interiors/16x16/Theme_Sorter_Singles/11_Halloween_Singles/Halloween_Singles_218.png")</f>
        <v/>
      </c>
    </row>
    <row r="218" ht="34.5" customHeight="1">
      <c r="A218" s="16" t="s">
        <v>2174</v>
      </c>
      <c r="B218" s="16" t="str">
        <f>IMAGE("https://lmztiles.s3.eu-west-1.amazonaws.com/Modern_Interiors_v41.3.4/1_Interiors/16x16/Theme_Sorter_Singles/11_Halloween_Singles/Halloween_Singles_219.png")</f>
        <v/>
      </c>
    </row>
    <row r="219" ht="34.5" customHeight="1">
      <c r="A219" s="16" t="s">
        <v>2175</v>
      </c>
      <c r="B219" s="16" t="str">
        <f>IMAGE("https://lmztiles.s3.eu-west-1.amazonaws.com/Modern_Interiors_v41.3.4/1_Interiors/16x16/Theme_Sorter_Singles/11_Halloween_Singles/Halloween_Singles_220.png")</f>
        <v/>
      </c>
    </row>
    <row r="220" ht="34.5" customHeight="1">
      <c r="A220" s="16" t="s">
        <v>2176</v>
      </c>
      <c r="B220" s="16" t="str">
        <f>IMAGE("https://lmztiles.s3.eu-west-1.amazonaws.com/Modern_Interiors_v41.3.4/1_Interiors/16x16/Theme_Sorter_Singles/11_Halloween_Singles/Halloween_Singles_221.png")</f>
        <v/>
      </c>
    </row>
    <row r="221" ht="34.5" customHeight="1">
      <c r="A221" s="16" t="s">
        <v>2177</v>
      </c>
      <c r="B221" s="16" t="str">
        <f>IMAGE("https://lmztiles.s3.eu-west-1.amazonaws.com/Modern_Interiors_v41.3.4/1_Interiors/16x16/Theme_Sorter_Singles/11_Halloween_Singles/Halloween_Singles_222.png")</f>
        <v/>
      </c>
    </row>
    <row r="222" ht="34.5" customHeight="1">
      <c r="A222" s="16" t="s">
        <v>2178</v>
      </c>
      <c r="B222" s="16" t="str">
        <f>IMAGE("https://lmztiles.s3.eu-west-1.amazonaws.com/Modern_Interiors_v41.3.4/1_Interiors/16x16/Theme_Sorter_Singles/11_Halloween_Singles/Halloween_Singles_223.png")</f>
        <v/>
      </c>
    </row>
    <row r="223" ht="34.5" customHeight="1">
      <c r="A223" s="16" t="s">
        <v>2179</v>
      </c>
      <c r="B223" s="16" t="str">
        <f>IMAGE("https://lmztiles.s3.eu-west-1.amazonaws.com/Modern_Interiors_v41.3.4/1_Interiors/16x16/Theme_Sorter_Singles/11_Halloween_Singles/Halloween_Singles_224.png")</f>
        <v/>
      </c>
    </row>
    <row r="224" ht="34.5" customHeight="1">
      <c r="A224" s="16" t="s">
        <v>2180</v>
      </c>
      <c r="B224" s="16" t="str">
        <f>IMAGE("https://lmztiles.s3.eu-west-1.amazonaws.com/Modern_Interiors_v41.3.4/1_Interiors/16x16/Theme_Sorter_Singles/11_Halloween_Singles/Halloween_Singles_225.png")</f>
        <v/>
      </c>
    </row>
    <row r="225" ht="34.5" customHeight="1">
      <c r="A225" s="16" t="s">
        <v>2181</v>
      </c>
      <c r="B225" s="16" t="str">
        <f>IMAGE("https://lmztiles.s3.eu-west-1.amazonaws.com/Modern_Interiors_v41.3.4/1_Interiors/16x16/Theme_Sorter_Singles/11_Halloween_Singles/Halloween_Singles_226.png")</f>
        <v/>
      </c>
    </row>
    <row r="226" ht="34.5" customHeight="1">
      <c r="A226" s="16" t="s">
        <v>2182</v>
      </c>
      <c r="B226" s="16" t="str">
        <f>IMAGE("https://lmztiles.s3.eu-west-1.amazonaws.com/Modern_Interiors_v41.3.4/1_Interiors/16x16/Theme_Sorter_Singles/11_Halloween_Singles/Halloween_Singles_227.png")</f>
        <v/>
      </c>
    </row>
    <row r="227" ht="34.5" customHeight="1">
      <c r="A227" s="16" t="s">
        <v>2183</v>
      </c>
      <c r="B227" s="16" t="str">
        <f>IMAGE("https://lmztiles.s3.eu-west-1.amazonaws.com/Modern_Interiors_v41.3.4/1_Interiors/16x16/Theme_Sorter_Singles/11_Halloween_Singles/Halloween_Singles_228.png")</f>
        <v/>
      </c>
    </row>
    <row r="228" ht="34.5" customHeight="1">
      <c r="A228" s="16" t="s">
        <v>2184</v>
      </c>
      <c r="B228" s="16" t="str">
        <f>IMAGE("https://lmztiles.s3.eu-west-1.amazonaws.com/Modern_Interiors_v41.3.4/1_Interiors/16x16/Theme_Sorter_Singles/11_Halloween_Singles/Halloween_Singles_229.png")</f>
        <v/>
      </c>
    </row>
    <row r="229" ht="34.5" customHeight="1">
      <c r="A229" s="16" t="s">
        <v>2185</v>
      </c>
      <c r="B229" s="16" t="str">
        <f>IMAGE("https://lmztiles.s3.eu-west-1.amazonaws.com/Modern_Interiors_v41.3.4/1_Interiors/16x16/Theme_Sorter_Singles/11_Halloween_Singles/Halloween_Singles_230.png")</f>
        <v/>
      </c>
    </row>
    <row r="230" ht="34.5" customHeight="1">
      <c r="A230" s="16" t="s">
        <v>2186</v>
      </c>
      <c r="B230" s="16" t="str">
        <f>IMAGE("https://lmztiles.s3.eu-west-1.amazonaws.com/Modern_Interiors_v41.3.4/1_Interiors/16x16/Theme_Sorter_Singles/11_Halloween_Singles/Halloween_Singles_231.png")</f>
        <v/>
      </c>
    </row>
    <row r="231" ht="34.5" customHeight="1">
      <c r="A231" s="16" t="s">
        <v>2187</v>
      </c>
      <c r="B231" s="16" t="str">
        <f>IMAGE("https://lmztiles.s3.eu-west-1.amazonaws.com/Modern_Interiors_v41.3.4/1_Interiors/16x16/Theme_Sorter_Singles/11_Halloween_Singles/Halloween_Singles_232.png")</f>
        <v/>
      </c>
    </row>
    <row r="232" ht="34.5" customHeight="1">
      <c r="A232" s="16" t="s">
        <v>2188</v>
      </c>
      <c r="B232" s="16" t="str">
        <f>IMAGE("https://lmztiles.s3.eu-west-1.amazonaws.com/Modern_Interiors_v41.3.4/1_Interiors/16x16/Theme_Sorter_Singles/11_Halloween_Singles/Halloween_Singles_233.png")</f>
        <v/>
      </c>
    </row>
    <row r="233" ht="34.5" customHeight="1">
      <c r="A233" s="16" t="s">
        <v>2189</v>
      </c>
      <c r="B233" s="16" t="str">
        <f>IMAGE("https://lmztiles.s3.eu-west-1.amazonaws.com/Modern_Interiors_v41.3.4/1_Interiors/16x16/Theme_Sorter_Singles/11_Halloween_Singles/Halloween_Singles_234.png")</f>
        <v/>
      </c>
    </row>
    <row r="234" ht="34.5" customHeight="1">
      <c r="A234" s="16" t="s">
        <v>2190</v>
      </c>
      <c r="B234" s="16" t="str">
        <f>IMAGE("https://lmztiles.s3.eu-west-1.amazonaws.com/Modern_Interiors_v41.3.4/1_Interiors/16x16/Theme_Sorter_Singles/11_Halloween_Singles/Halloween_Singles_235.png")</f>
        <v/>
      </c>
    </row>
    <row r="235" ht="34.5" customHeight="1">
      <c r="A235" s="16" t="s">
        <v>2191</v>
      </c>
      <c r="B235" s="16" t="str">
        <f>IMAGE("https://lmztiles.s3.eu-west-1.amazonaws.com/Modern_Interiors_v41.3.4/1_Interiors/16x16/Theme_Sorter_Singles/11_Halloween_Singles/Halloween_Singles_236.png")</f>
        <v/>
      </c>
    </row>
    <row r="236" ht="34.5" customHeight="1">
      <c r="A236" s="16" t="s">
        <v>2192</v>
      </c>
      <c r="B236" s="16" t="str">
        <f>IMAGE("https://lmztiles.s3.eu-west-1.amazonaws.com/Modern_Interiors_v41.3.4/1_Interiors/16x16/Theme_Sorter_Singles/11_Halloween_Singles/Halloween_Singles_237.png")</f>
        <v/>
      </c>
    </row>
    <row r="237" ht="34.5" customHeight="1">
      <c r="A237" s="16" t="s">
        <v>2193</v>
      </c>
      <c r="B237" s="16" t="str">
        <f>IMAGE("https://lmztiles.s3.eu-west-1.amazonaws.com/Modern_Interiors_v41.3.4/1_Interiors/16x16/Theme_Sorter_Singles/11_Halloween_Singles/Halloween_Singles_238.png")</f>
        <v/>
      </c>
    </row>
    <row r="238" ht="34.5" customHeight="1">
      <c r="A238" s="16" t="s">
        <v>2194</v>
      </c>
      <c r="B238" s="16" t="str">
        <f>IMAGE("https://lmztiles.s3.eu-west-1.amazonaws.com/Modern_Interiors_v41.3.4/1_Interiors/16x16/Theme_Sorter_Singles/11_Halloween_Singles/Halloween_Singles_239.png")</f>
        <v/>
      </c>
    </row>
    <row r="239" ht="34.5" customHeight="1">
      <c r="A239" s="16" t="s">
        <v>2195</v>
      </c>
      <c r="B239" s="16" t="str">
        <f>IMAGE("https://lmztiles.s3.eu-west-1.amazonaws.com/Modern_Interiors_v41.3.4/1_Interiors/16x16/Theme_Sorter_Singles/11_Halloween_Singles/Halloween_Singles_240.png")</f>
        <v/>
      </c>
    </row>
    <row r="240" ht="34.5" customHeight="1"/>
    <row r="241" ht="34.5" customHeight="1"/>
    <row r="242" ht="34.5" customHeight="1"/>
    <row r="243" ht="34.5" customHeight="1"/>
    <row r="244" ht="34.5" customHeight="1"/>
    <row r="245" ht="34.5" customHeight="1"/>
    <row r="246" ht="34.5" customHeight="1"/>
    <row r="247" ht="34.5" customHeight="1"/>
    <row r="248" ht="34.5" customHeight="1"/>
    <row r="249" ht="34.5" customHeight="1"/>
    <row r="250" ht="34.5" customHeight="1"/>
    <row r="251" ht="34.5" customHeight="1"/>
    <row r="252" ht="34.5" customHeight="1"/>
    <row r="253" ht="34.5" customHeight="1"/>
    <row r="254" ht="34.5" customHeight="1"/>
    <row r="255" ht="34.5" customHeight="1"/>
    <row r="256" ht="34.5" customHeight="1"/>
    <row r="257" ht="34.5" customHeight="1"/>
    <row r="258" ht="34.5" customHeight="1"/>
    <row r="259" ht="34.5" customHeight="1"/>
    <row r="260" ht="34.5" customHeight="1"/>
    <row r="261" ht="34.5" customHeight="1"/>
    <row r="262" ht="34.5" customHeight="1"/>
    <row r="263" ht="34.5" customHeight="1"/>
    <row r="264" ht="34.5" customHeight="1"/>
    <row r="265" ht="34.5" customHeight="1"/>
    <row r="266" ht="34.5" customHeight="1"/>
    <row r="267" ht="34.5" customHeight="1"/>
    <row r="268" ht="34.5" customHeight="1"/>
    <row r="269" ht="34.5" customHeight="1"/>
    <row r="270" ht="34.5" customHeight="1"/>
    <row r="271" ht="34.5" customHeight="1"/>
    <row r="272" ht="34.5" customHeight="1"/>
    <row r="273" ht="34.5" customHeight="1"/>
    <row r="274" ht="34.5" customHeight="1"/>
    <row r="275" ht="34.5" customHeight="1"/>
    <row r="276" ht="34.5" customHeight="1"/>
    <row r="277" ht="34.5" customHeight="1"/>
    <row r="278" ht="34.5" customHeight="1"/>
    <row r="279" ht="34.5" customHeight="1"/>
    <row r="280" ht="34.5" customHeight="1"/>
    <row r="281" ht="34.5" customHeight="1"/>
    <row r="282" ht="34.5" customHeight="1"/>
    <row r="283" ht="34.5" customHeight="1"/>
    <row r="284" ht="34.5" customHeight="1"/>
    <row r="285" ht="34.5" customHeight="1"/>
    <row r="286" ht="34.5" customHeight="1"/>
    <row r="287" ht="34.5" customHeight="1"/>
    <row r="288" ht="34.5" customHeight="1"/>
    <row r="289" ht="34.5" customHeight="1"/>
    <row r="290" ht="34.5" customHeight="1"/>
    <row r="291" ht="34.5" customHeight="1"/>
    <row r="292" ht="34.5" customHeight="1"/>
    <row r="293" ht="34.5" customHeight="1"/>
    <row r="294" ht="34.5" customHeight="1"/>
    <row r="295" ht="34.5" customHeight="1"/>
    <row r="296" ht="34.5" customHeight="1"/>
    <row r="297" ht="34.5" customHeight="1"/>
    <row r="298" ht="34.5" customHeight="1"/>
    <row r="299" ht="34.5" customHeight="1"/>
    <row r="300" ht="34.5" customHeight="1"/>
    <row r="301" ht="34.5" customHeight="1"/>
    <row r="302" ht="34.5" customHeight="1"/>
    <row r="303" ht="34.5" customHeight="1"/>
    <row r="304" ht="34.5" customHeight="1"/>
    <row r="305" ht="34.5" customHeight="1"/>
    <row r="306" ht="34.5" customHeight="1"/>
    <row r="307" ht="34.5" customHeight="1"/>
    <row r="308" ht="34.5" customHeight="1"/>
    <row r="309" ht="34.5" customHeight="1"/>
    <row r="310" ht="34.5" customHeight="1"/>
    <row r="311" ht="34.5" customHeight="1"/>
    <row r="312" ht="34.5" customHeight="1"/>
    <row r="313" ht="34.5" customHeight="1"/>
    <row r="314" ht="34.5" customHeight="1"/>
    <row r="315" ht="34.5" customHeight="1"/>
    <row r="316" ht="34.5" customHeight="1"/>
    <row r="317" ht="34.5" customHeight="1"/>
    <row r="318" ht="34.5" customHeight="1"/>
    <row r="319" ht="34.5" customHeight="1"/>
    <row r="320" ht="34.5" customHeight="1"/>
    <row r="321" ht="34.5" customHeight="1"/>
    <row r="322" ht="34.5" customHeight="1"/>
    <row r="323" ht="34.5" customHeight="1"/>
    <row r="324" ht="34.5" customHeight="1"/>
    <row r="325" ht="34.5" customHeight="1"/>
    <row r="326" ht="34.5" customHeight="1"/>
    <row r="327" ht="34.5" customHeight="1"/>
    <row r="328" ht="34.5" customHeight="1"/>
    <row r="329" ht="34.5" customHeight="1"/>
    <row r="330" ht="34.5" customHeight="1"/>
    <row r="331" ht="34.5" customHeight="1"/>
    <row r="332" ht="34.5" customHeight="1"/>
    <row r="333" ht="34.5" customHeight="1"/>
    <row r="334" ht="34.5" customHeight="1"/>
    <row r="335" ht="34.5" customHeight="1"/>
    <row r="336" ht="34.5" customHeight="1"/>
    <row r="337" ht="34.5" customHeight="1"/>
    <row r="338" ht="34.5" customHeight="1"/>
    <row r="339" ht="34.5" customHeight="1"/>
    <row r="340" ht="34.5" customHeight="1"/>
    <row r="341" ht="34.5" customHeight="1"/>
    <row r="342" ht="34.5" customHeight="1"/>
    <row r="343" ht="34.5" customHeight="1"/>
    <row r="344" ht="34.5" customHeight="1"/>
    <row r="345" ht="34.5" customHeight="1"/>
    <row r="346" ht="34.5" customHeight="1"/>
    <row r="347" ht="34.5" customHeight="1"/>
    <row r="348" ht="34.5" customHeight="1"/>
    <row r="349" ht="34.5" customHeight="1"/>
    <row r="350" ht="34.5" customHeight="1"/>
    <row r="351" ht="34.5" customHeight="1"/>
    <row r="352" ht="34.5" customHeight="1"/>
    <row r="353" ht="34.5" customHeight="1"/>
    <row r="354" ht="34.5" customHeight="1"/>
    <row r="355" ht="34.5" customHeight="1"/>
    <row r="356" ht="34.5" customHeight="1"/>
    <row r="357" ht="34.5" customHeight="1"/>
    <row r="358" ht="34.5" customHeight="1"/>
    <row r="359" ht="34.5" customHeight="1"/>
    <row r="360" ht="34.5" customHeight="1"/>
    <row r="361" ht="34.5" customHeight="1"/>
    <row r="362" ht="34.5" customHeight="1"/>
    <row r="363" ht="34.5" customHeight="1"/>
    <row r="364" ht="34.5" customHeight="1"/>
    <row r="365" ht="34.5" customHeight="1"/>
    <row r="366" ht="34.5" customHeight="1"/>
    <row r="367" ht="34.5" customHeight="1"/>
    <row r="368" ht="34.5" customHeight="1"/>
    <row r="369" ht="34.5" customHeight="1"/>
    <row r="370" ht="34.5" customHeight="1"/>
    <row r="371" ht="34.5" customHeight="1"/>
    <row r="372" ht="34.5" customHeight="1"/>
    <row r="373" ht="34.5" customHeight="1"/>
    <row r="374" ht="34.5" customHeight="1"/>
    <row r="375" ht="34.5" customHeight="1"/>
    <row r="376" ht="34.5" customHeight="1"/>
    <row r="377" ht="34.5" customHeight="1"/>
    <row r="378" ht="34.5" customHeight="1"/>
    <row r="379" ht="34.5" customHeight="1"/>
    <row r="380" ht="34.5" customHeight="1"/>
    <row r="381" ht="34.5" customHeight="1"/>
    <row r="382" ht="34.5" customHeight="1"/>
    <row r="383" ht="34.5" customHeight="1"/>
    <row r="384" ht="34.5" customHeight="1"/>
    <row r="385" ht="34.5" customHeight="1"/>
    <row r="386" ht="34.5" customHeight="1"/>
    <row r="387" ht="34.5" customHeight="1"/>
    <row r="388" ht="34.5" customHeight="1"/>
    <row r="389" ht="34.5" customHeight="1"/>
    <row r="390" ht="34.5" customHeight="1"/>
    <row r="391" ht="34.5" customHeight="1"/>
    <row r="392" ht="34.5" customHeight="1"/>
    <row r="393" ht="34.5" customHeight="1"/>
    <row r="394" ht="34.5" customHeight="1"/>
    <row r="395" ht="34.5" customHeight="1"/>
    <row r="396" ht="34.5" customHeight="1"/>
    <row r="397" ht="34.5" customHeight="1"/>
    <row r="398" ht="34.5" customHeight="1"/>
    <row r="399" ht="34.5" customHeight="1"/>
    <row r="400" ht="34.5" customHeight="1"/>
    <row r="401" ht="34.5" customHeight="1"/>
    <row r="402" ht="34.5" customHeight="1"/>
    <row r="403" ht="34.5" customHeight="1"/>
    <row r="404" ht="34.5" customHeight="1"/>
    <row r="405" ht="34.5" customHeight="1"/>
    <row r="406" ht="34.5" customHeight="1"/>
    <row r="407" ht="34.5" customHeight="1"/>
    <row r="408" ht="34.5" customHeight="1"/>
    <row r="409" ht="34.5" customHeight="1"/>
    <row r="410" ht="34.5" customHeight="1"/>
    <row r="411" ht="34.5" customHeight="1"/>
    <row r="412" ht="34.5" customHeight="1"/>
    <row r="413" ht="34.5" customHeight="1"/>
    <row r="414" ht="34.5" customHeight="1"/>
    <row r="415" ht="34.5" customHeight="1"/>
    <row r="416" ht="34.5" customHeight="1"/>
    <row r="417" ht="34.5" customHeight="1"/>
    <row r="418" ht="34.5" customHeight="1"/>
    <row r="419" ht="34.5" customHeight="1"/>
    <row r="420" ht="34.5" customHeight="1"/>
    <row r="421" ht="34.5" customHeight="1"/>
    <row r="422" ht="34.5" customHeight="1"/>
    <row r="423" ht="34.5" customHeight="1"/>
    <row r="424" ht="34.5" customHeight="1"/>
    <row r="425" ht="34.5" customHeight="1"/>
    <row r="426" ht="34.5" customHeight="1"/>
    <row r="427" ht="34.5" customHeight="1"/>
    <row r="428" ht="34.5" customHeight="1"/>
    <row r="429" ht="34.5" customHeight="1"/>
    <row r="430" ht="34.5" customHeight="1"/>
    <row r="431" ht="34.5" customHeight="1"/>
    <row r="432" ht="34.5" customHeight="1"/>
    <row r="433" ht="34.5" customHeight="1"/>
    <row r="434" ht="34.5" customHeight="1"/>
    <row r="435" ht="34.5" customHeight="1"/>
    <row r="436" ht="34.5" customHeight="1"/>
    <row r="437" ht="34.5" customHeight="1"/>
    <row r="438" ht="34.5" customHeight="1"/>
    <row r="439" ht="34.5" customHeight="1"/>
    <row r="440" ht="34.5" customHeight="1"/>
    <row r="441" ht="34.5" customHeight="1"/>
    <row r="442" ht="34.5" customHeight="1"/>
    <row r="443" ht="34.5" customHeight="1"/>
    <row r="444" ht="34.5" customHeight="1"/>
    <row r="445" ht="34.5" customHeight="1"/>
    <row r="446" ht="34.5" customHeight="1"/>
    <row r="447" ht="34.5" customHeight="1"/>
    <row r="448" ht="34.5" customHeight="1"/>
    <row r="449" ht="34.5" customHeight="1"/>
    <row r="450" ht="34.5" customHeight="1"/>
    <row r="451" ht="34.5" customHeight="1"/>
    <row r="452" ht="34.5" customHeight="1"/>
    <row r="453" ht="34.5" customHeight="1"/>
    <row r="454" ht="34.5" customHeight="1"/>
    <row r="455" ht="34.5" customHeight="1"/>
    <row r="456" ht="34.5" customHeight="1"/>
    <row r="457" ht="34.5" customHeight="1"/>
    <row r="458" ht="34.5" customHeight="1"/>
    <row r="459" ht="34.5" customHeight="1"/>
    <row r="460" ht="34.5" customHeight="1"/>
    <row r="461" ht="34.5" customHeight="1"/>
    <row r="462" ht="34.5" customHeight="1"/>
    <row r="463" ht="34.5" customHeight="1"/>
    <row r="464" ht="34.5" customHeight="1"/>
    <row r="465" ht="34.5" customHeight="1"/>
    <row r="466" ht="34.5" customHeight="1"/>
    <row r="467" ht="34.5" customHeight="1"/>
    <row r="468" ht="34.5" customHeight="1"/>
    <row r="469" ht="34.5" customHeight="1"/>
    <row r="470" ht="34.5" customHeight="1"/>
    <row r="471" ht="34.5" customHeight="1"/>
    <row r="472" ht="34.5" customHeight="1"/>
    <row r="473" ht="34.5" customHeight="1"/>
    <row r="474" ht="34.5" customHeight="1"/>
    <row r="475" ht="34.5" customHeight="1"/>
    <row r="476" ht="34.5" customHeight="1"/>
    <row r="477" ht="34.5" customHeight="1"/>
    <row r="478" ht="34.5" customHeight="1"/>
    <row r="479" ht="34.5" customHeight="1"/>
    <row r="480" ht="34.5" customHeight="1"/>
    <row r="481" ht="34.5" customHeight="1"/>
    <row r="482" ht="34.5" customHeight="1"/>
    <row r="483" ht="34.5" customHeight="1"/>
    <row r="484" ht="34.5" customHeight="1"/>
    <row r="485" ht="34.5" customHeight="1"/>
    <row r="486" ht="34.5" customHeight="1"/>
    <row r="487" ht="34.5" customHeight="1"/>
    <row r="488" ht="34.5" customHeight="1"/>
    <row r="489" ht="34.5" customHeight="1"/>
    <row r="490" ht="34.5" customHeight="1"/>
    <row r="491" ht="34.5" customHeight="1"/>
    <row r="492" ht="34.5" customHeight="1"/>
    <row r="493" ht="34.5" customHeight="1"/>
    <row r="494" ht="34.5" customHeight="1"/>
    <row r="495" ht="34.5" customHeight="1"/>
    <row r="496" ht="34.5" customHeight="1"/>
    <row r="497" ht="34.5" customHeight="1"/>
    <row r="498" ht="34.5" customHeight="1"/>
    <row r="499" ht="34.5" customHeight="1"/>
    <row r="500" ht="34.5" customHeight="1"/>
    <row r="501" ht="34.5" customHeight="1"/>
    <row r="502" ht="34.5" customHeight="1"/>
    <row r="503" ht="34.5" customHeight="1"/>
    <row r="504" ht="34.5" customHeight="1"/>
    <row r="505" ht="34.5" customHeight="1"/>
    <row r="506" ht="34.5" customHeight="1"/>
    <row r="507" ht="34.5" customHeight="1"/>
    <row r="508" ht="34.5" customHeight="1"/>
    <row r="509" ht="34.5" customHeight="1"/>
    <row r="510" ht="34.5" customHeight="1"/>
    <row r="511" ht="34.5" customHeight="1"/>
    <row r="512" ht="34.5" customHeight="1"/>
    <row r="513" ht="34.5" customHeight="1"/>
    <row r="514" ht="34.5" customHeight="1"/>
    <row r="515" ht="34.5" customHeight="1"/>
    <row r="516" ht="34.5" customHeight="1"/>
    <row r="517" ht="34.5" customHeight="1"/>
    <row r="518" ht="34.5" customHeight="1"/>
    <row r="519" ht="34.5" customHeight="1"/>
    <row r="520" ht="34.5" customHeight="1"/>
    <row r="521" ht="34.5" customHeight="1"/>
    <row r="522" ht="34.5" customHeight="1"/>
    <row r="523" ht="34.5" customHeight="1"/>
    <row r="524" ht="34.5" customHeight="1"/>
    <row r="525" ht="34.5" customHeight="1"/>
    <row r="526" ht="34.5" customHeight="1"/>
    <row r="527" ht="34.5" customHeight="1"/>
    <row r="528" ht="34.5" customHeight="1"/>
    <row r="529" ht="34.5" customHeight="1"/>
    <row r="530" ht="34.5" customHeight="1"/>
    <row r="531" ht="34.5" customHeight="1"/>
    <row r="532" ht="34.5" customHeight="1"/>
    <row r="533" ht="34.5" customHeight="1"/>
    <row r="534" ht="34.5" customHeight="1"/>
    <row r="535" ht="34.5" customHeight="1"/>
    <row r="536" ht="34.5" customHeight="1"/>
    <row r="537" ht="34.5" customHeight="1"/>
    <row r="538" ht="34.5" customHeight="1"/>
    <row r="539" ht="34.5" customHeight="1"/>
    <row r="540" ht="34.5" customHeight="1"/>
    <row r="541" ht="34.5" customHeight="1"/>
    <row r="542" ht="34.5" customHeight="1"/>
    <row r="543" ht="34.5" customHeight="1"/>
    <row r="544" ht="34.5" customHeight="1"/>
    <row r="545" ht="34.5" customHeight="1"/>
    <row r="546" ht="34.5" customHeight="1"/>
    <row r="547" ht="34.5" customHeight="1"/>
    <row r="548" ht="34.5" customHeight="1"/>
    <row r="549" ht="34.5" customHeight="1"/>
    <row r="550" ht="34.5" customHeight="1"/>
    <row r="551" ht="34.5" customHeight="1"/>
    <row r="552" ht="34.5" customHeight="1"/>
    <row r="553" ht="34.5" customHeight="1"/>
    <row r="554" ht="34.5" customHeight="1"/>
    <row r="555" ht="34.5" customHeight="1"/>
    <row r="556" ht="34.5" customHeight="1"/>
    <row r="557" ht="34.5" customHeight="1"/>
    <row r="558" ht="34.5" customHeight="1"/>
    <row r="559" ht="34.5" customHeight="1"/>
    <row r="560" ht="34.5" customHeight="1"/>
    <row r="561" ht="34.5" customHeight="1"/>
    <row r="562" ht="34.5" customHeight="1"/>
    <row r="563" ht="34.5" customHeight="1"/>
    <row r="564" ht="34.5" customHeight="1"/>
    <row r="565" ht="34.5" customHeight="1"/>
    <row r="566" ht="34.5" customHeight="1"/>
    <row r="567" ht="34.5" customHeight="1"/>
    <row r="568" ht="34.5" customHeight="1"/>
    <row r="569" ht="34.5" customHeight="1"/>
    <row r="570" ht="34.5" customHeight="1"/>
    <row r="571" ht="34.5" customHeight="1"/>
    <row r="572" ht="34.5" customHeight="1"/>
    <row r="573" ht="34.5" customHeight="1"/>
    <row r="574" ht="34.5" customHeight="1"/>
    <row r="575" ht="34.5" customHeight="1"/>
    <row r="576" ht="34.5" customHeight="1"/>
    <row r="577" ht="34.5" customHeight="1"/>
    <row r="578" ht="34.5" customHeight="1"/>
    <row r="579" ht="34.5" customHeight="1"/>
    <row r="580" ht="34.5" customHeight="1"/>
    <row r="581" ht="34.5" customHeight="1"/>
    <row r="582" ht="34.5" customHeight="1"/>
    <row r="583" ht="34.5" customHeight="1"/>
    <row r="584" ht="34.5" customHeight="1"/>
    <row r="585" ht="34.5" customHeight="1"/>
    <row r="586" ht="34.5" customHeight="1"/>
    <row r="587" ht="34.5" customHeight="1"/>
    <row r="588" ht="34.5" customHeight="1"/>
    <row r="589" ht="34.5" customHeight="1"/>
    <row r="590" ht="34.5" customHeight="1"/>
    <row r="591" ht="34.5" customHeight="1"/>
    <row r="592" ht="34.5" customHeight="1"/>
    <row r="593" ht="34.5" customHeight="1"/>
    <row r="594" ht="34.5" customHeight="1"/>
    <row r="595" ht="34.5" customHeight="1"/>
    <row r="596" ht="34.5" customHeight="1"/>
    <row r="597" ht="34.5" customHeight="1"/>
    <row r="598" ht="34.5" customHeight="1"/>
    <row r="599" ht="34.5" customHeight="1"/>
    <row r="600" ht="34.5" customHeight="1"/>
    <row r="601" ht="34.5" customHeight="1"/>
    <row r="602" ht="34.5" customHeight="1"/>
    <row r="603" ht="34.5" customHeight="1"/>
    <row r="604" ht="34.5" customHeight="1"/>
    <row r="605" ht="34.5" customHeight="1"/>
    <row r="606" ht="34.5" customHeight="1"/>
    <row r="607" ht="34.5" customHeight="1"/>
    <row r="608" ht="34.5" customHeight="1"/>
    <row r="609" ht="34.5" customHeight="1"/>
    <row r="610" ht="34.5" customHeight="1"/>
    <row r="611" ht="34.5" customHeight="1"/>
    <row r="612" ht="34.5" customHeight="1"/>
    <row r="613" ht="34.5" customHeight="1"/>
    <row r="614" ht="34.5" customHeight="1"/>
    <row r="615" ht="34.5" customHeight="1"/>
    <row r="616" ht="34.5" customHeight="1"/>
    <row r="617" ht="34.5" customHeight="1"/>
    <row r="618" ht="34.5" customHeight="1"/>
    <row r="619" ht="34.5" customHeight="1"/>
    <row r="620" ht="34.5" customHeight="1"/>
    <row r="621" ht="34.5" customHeight="1"/>
    <row r="622" ht="34.5" customHeight="1"/>
    <row r="623" ht="34.5" customHeight="1"/>
    <row r="624" ht="34.5" customHeight="1"/>
    <row r="625" ht="34.5" customHeight="1"/>
    <row r="626" ht="34.5" customHeight="1"/>
    <row r="627" ht="34.5" customHeight="1"/>
    <row r="628" ht="34.5" customHeight="1"/>
    <row r="629" ht="34.5" customHeight="1"/>
    <row r="630" ht="34.5" customHeight="1"/>
    <row r="631" ht="34.5" customHeight="1"/>
    <row r="632" ht="34.5" customHeight="1"/>
    <row r="633" ht="34.5" customHeight="1"/>
    <row r="634" ht="34.5" customHeight="1"/>
    <row r="635" ht="34.5" customHeight="1"/>
    <row r="636" ht="34.5" customHeight="1"/>
    <row r="637" ht="34.5" customHeight="1"/>
    <row r="638" ht="34.5" customHeight="1"/>
    <row r="639" ht="34.5" customHeight="1"/>
    <row r="640" ht="34.5" customHeight="1"/>
    <row r="641" ht="34.5" customHeight="1"/>
    <row r="642" ht="34.5" customHeight="1"/>
    <row r="643" ht="34.5" customHeight="1"/>
    <row r="644" ht="34.5" customHeight="1"/>
    <row r="645" ht="34.5" customHeight="1"/>
    <row r="646" ht="34.5" customHeight="1"/>
    <row r="647" ht="34.5" customHeight="1"/>
    <row r="648" ht="34.5" customHeight="1"/>
    <row r="649" ht="34.5" customHeight="1"/>
    <row r="650" ht="34.5" customHeight="1"/>
    <row r="651" ht="34.5" customHeight="1"/>
    <row r="652" ht="34.5" customHeight="1"/>
    <row r="653" ht="34.5" customHeight="1"/>
    <row r="654" ht="34.5" customHeight="1"/>
    <row r="655" ht="34.5" customHeight="1"/>
    <row r="656" ht="34.5" customHeight="1"/>
    <row r="657" ht="34.5" customHeight="1"/>
    <row r="658" ht="34.5" customHeight="1"/>
    <row r="659" ht="34.5" customHeight="1"/>
    <row r="660" ht="34.5" customHeight="1"/>
    <row r="661" ht="34.5" customHeight="1"/>
    <row r="662" ht="34.5" customHeight="1"/>
    <row r="663" ht="34.5" customHeight="1"/>
    <row r="664" ht="34.5" customHeight="1"/>
    <row r="665" ht="34.5" customHeight="1"/>
    <row r="666" ht="34.5" customHeight="1"/>
    <row r="667" ht="34.5" customHeight="1"/>
    <row r="668" ht="34.5" customHeight="1"/>
    <row r="669" ht="34.5" customHeight="1"/>
    <row r="670" ht="34.5" customHeight="1"/>
    <row r="671" ht="34.5" customHeight="1"/>
    <row r="672" ht="34.5" customHeight="1"/>
    <row r="673" ht="34.5" customHeight="1"/>
    <row r="674" ht="34.5" customHeight="1"/>
    <row r="675" ht="34.5" customHeight="1"/>
    <row r="676" ht="34.5" customHeight="1"/>
    <row r="677" ht="34.5" customHeight="1"/>
    <row r="678" ht="34.5" customHeight="1"/>
    <row r="679" ht="34.5" customHeight="1"/>
    <row r="680" ht="34.5" customHeight="1"/>
    <row r="681" ht="34.5" customHeight="1"/>
    <row r="682" ht="34.5" customHeight="1"/>
    <row r="683" ht="34.5" customHeight="1"/>
    <row r="684" ht="34.5" customHeight="1"/>
    <row r="685" ht="34.5" customHeight="1"/>
    <row r="686" ht="34.5" customHeight="1"/>
    <row r="687" ht="34.5" customHeight="1"/>
    <row r="688" ht="34.5" customHeight="1"/>
    <row r="689" ht="34.5" customHeight="1"/>
    <row r="690" ht="34.5" customHeight="1"/>
    <row r="691" ht="34.5" customHeight="1"/>
    <row r="692" ht="34.5" customHeight="1"/>
    <row r="693" ht="34.5" customHeight="1"/>
    <row r="694" ht="34.5" customHeight="1"/>
    <row r="695" ht="34.5" customHeight="1"/>
    <row r="696" ht="34.5" customHeight="1"/>
    <row r="697" ht="34.5" customHeight="1"/>
    <row r="698" ht="34.5" customHeight="1"/>
    <row r="699" ht="34.5" customHeight="1"/>
    <row r="700" ht="34.5" customHeight="1"/>
    <row r="701" ht="34.5" customHeight="1"/>
    <row r="702" ht="34.5" customHeight="1"/>
    <row r="703" ht="34.5" customHeight="1"/>
    <row r="704" ht="34.5" customHeight="1"/>
    <row r="705" ht="34.5" customHeight="1"/>
    <row r="706" ht="34.5" customHeight="1"/>
    <row r="707" ht="34.5" customHeight="1"/>
    <row r="708" ht="34.5" customHeight="1"/>
    <row r="709" ht="34.5" customHeight="1"/>
    <row r="710" ht="34.5" customHeight="1"/>
    <row r="711" ht="34.5" customHeight="1"/>
    <row r="712" ht="34.5" customHeight="1"/>
    <row r="713" ht="34.5" customHeight="1"/>
    <row r="714" ht="34.5" customHeight="1"/>
    <row r="715" ht="34.5" customHeight="1"/>
    <row r="716" ht="34.5" customHeight="1"/>
    <row r="717" ht="34.5" customHeight="1"/>
    <row r="718" ht="34.5" customHeight="1"/>
    <row r="719" ht="34.5" customHeight="1"/>
    <row r="720" ht="34.5" customHeight="1"/>
    <row r="721" ht="34.5" customHeight="1"/>
    <row r="722" ht="34.5" customHeight="1"/>
    <row r="723" ht="34.5" customHeight="1"/>
    <row r="724" ht="34.5" customHeight="1"/>
    <row r="725" ht="34.5" customHeight="1"/>
    <row r="726" ht="34.5" customHeight="1"/>
    <row r="727" ht="34.5" customHeight="1"/>
    <row r="728" ht="34.5" customHeight="1"/>
    <row r="729" ht="34.5" customHeight="1"/>
    <row r="730" ht="34.5" customHeight="1"/>
    <row r="731" ht="34.5" customHeight="1"/>
    <row r="732" ht="34.5" customHeight="1"/>
    <row r="733" ht="34.5" customHeight="1"/>
    <row r="734" ht="34.5" customHeight="1"/>
    <row r="735" ht="34.5" customHeight="1"/>
    <row r="736" ht="34.5" customHeight="1"/>
    <row r="737" ht="34.5" customHeight="1"/>
    <row r="738" ht="34.5" customHeight="1"/>
    <row r="739" ht="34.5" customHeight="1"/>
    <row r="740" ht="34.5" customHeight="1"/>
    <row r="741" ht="34.5" customHeight="1"/>
    <row r="742" ht="34.5" customHeight="1"/>
    <row r="743" ht="34.5" customHeight="1"/>
    <row r="744" ht="34.5" customHeight="1"/>
    <row r="745" ht="34.5" customHeight="1"/>
    <row r="746" ht="34.5" customHeight="1"/>
    <row r="747" ht="34.5" customHeight="1"/>
    <row r="748" ht="34.5" customHeight="1"/>
    <row r="749" ht="34.5" customHeight="1"/>
    <row r="750" ht="34.5" customHeight="1"/>
    <row r="751" ht="34.5" customHeight="1"/>
    <row r="752" ht="34.5" customHeight="1"/>
    <row r="753" ht="34.5" customHeight="1"/>
    <row r="754" ht="34.5" customHeight="1"/>
    <row r="755" ht="34.5" customHeight="1"/>
    <row r="756" ht="34.5" customHeight="1"/>
    <row r="757" ht="34.5" customHeight="1"/>
    <row r="758" ht="34.5" customHeight="1"/>
    <row r="759" ht="34.5" customHeight="1"/>
    <row r="760" ht="34.5" customHeight="1"/>
    <row r="761" ht="34.5" customHeight="1"/>
    <row r="762" ht="34.5" customHeight="1"/>
    <row r="763" ht="34.5" customHeight="1"/>
    <row r="764" ht="34.5" customHeight="1"/>
    <row r="765" ht="34.5" customHeight="1"/>
    <row r="766" ht="34.5" customHeight="1"/>
    <row r="767" ht="34.5" customHeight="1"/>
    <row r="768" ht="34.5" customHeight="1"/>
    <row r="769" ht="34.5" customHeight="1"/>
    <row r="770" ht="34.5" customHeight="1"/>
    <row r="771" ht="34.5" customHeight="1"/>
    <row r="772" ht="34.5" customHeight="1"/>
    <row r="773" ht="34.5" customHeight="1"/>
    <row r="774" ht="34.5" customHeight="1"/>
    <row r="775" ht="34.5" customHeight="1"/>
    <row r="776" ht="34.5" customHeight="1"/>
    <row r="777" ht="34.5" customHeight="1"/>
    <row r="778" ht="34.5" customHeight="1"/>
    <row r="779" ht="34.5" customHeight="1"/>
    <row r="780" ht="34.5" customHeight="1"/>
    <row r="781" ht="34.5" customHeight="1"/>
    <row r="782" ht="34.5" customHeight="1"/>
    <row r="783" ht="34.5" customHeight="1"/>
    <row r="784" ht="34.5" customHeight="1"/>
    <row r="785" ht="34.5" customHeight="1"/>
    <row r="786" ht="34.5" customHeight="1"/>
    <row r="787" ht="34.5" customHeight="1"/>
    <row r="788" ht="34.5" customHeight="1"/>
    <row r="789" ht="34.5" customHeight="1"/>
    <row r="790" ht="34.5" customHeight="1"/>
    <row r="791" ht="34.5" customHeight="1"/>
    <row r="792" ht="34.5" customHeight="1"/>
    <row r="793" ht="34.5" customHeight="1"/>
    <row r="794" ht="34.5" customHeight="1"/>
    <row r="795" ht="34.5" customHeight="1"/>
    <row r="796" ht="34.5" customHeight="1"/>
    <row r="797" ht="34.5" customHeight="1"/>
    <row r="798" ht="34.5" customHeight="1"/>
    <row r="799" ht="34.5" customHeight="1"/>
    <row r="800" ht="34.5" customHeight="1"/>
    <row r="801" ht="34.5" customHeight="1"/>
    <row r="802" ht="34.5" customHeight="1"/>
    <row r="803" ht="34.5" customHeight="1"/>
    <row r="804" ht="34.5" customHeight="1"/>
    <row r="805" ht="34.5" customHeight="1"/>
    <row r="806" ht="34.5" customHeight="1"/>
    <row r="807" ht="34.5" customHeight="1"/>
    <row r="808" ht="34.5" customHeight="1"/>
    <row r="809" ht="34.5" customHeight="1"/>
    <row r="810" ht="34.5" customHeight="1"/>
    <row r="811" ht="34.5" customHeight="1"/>
    <row r="812" ht="34.5" customHeight="1"/>
    <row r="813" ht="34.5" customHeight="1"/>
    <row r="814" ht="34.5" customHeight="1"/>
    <row r="815" ht="34.5" customHeight="1"/>
    <row r="816" ht="34.5" customHeight="1"/>
    <row r="817" ht="34.5" customHeight="1"/>
    <row r="818" ht="34.5" customHeight="1"/>
    <row r="819" ht="34.5" customHeight="1"/>
    <row r="820" ht="34.5" customHeight="1"/>
    <row r="821" ht="34.5" customHeight="1"/>
    <row r="822" ht="34.5" customHeight="1"/>
    <row r="823" ht="34.5" customHeight="1"/>
    <row r="824" ht="34.5" customHeight="1"/>
    <row r="825" ht="34.5" customHeight="1"/>
    <row r="826" ht="34.5" customHeight="1"/>
    <row r="827" ht="34.5" customHeight="1"/>
    <row r="828" ht="34.5" customHeight="1"/>
    <row r="829" ht="34.5" customHeight="1"/>
    <row r="830" ht="34.5" customHeight="1"/>
    <row r="831" ht="34.5" customHeight="1"/>
    <row r="832" ht="34.5" customHeight="1"/>
    <row r="833" ht="34.5" customHeight="1"/>
    <row r="834" ht="34.5" customHeight="1"/>
    <row r="835" ht="34.5" customHeight="1"/>
    <row r="836" ht="34.5" customHeight="1"/>
    <row r="837" ht="34.5" customHeight="1"/>
    <row r="838" ht="34.5" customHeight="1"/>
    <row r="839" ht="34.5" customHeight="1"/>
    <row r="840" ht="34.5" customHeight="1"/>
    <row r="841" ht="34.5" customHeight="1"/>
    <row r="842" ht="34.5" customHeight="1"/>
    <row r="843" ht="34.5" customHeight="1"/>
    <row r="844" ht="34.5" customHeight="1"/>
    <row r="845" ht="34.5" customHeight="1"/>
    <row r="846" ht="34.5" customHeight="1"/>
    <row r="847" ht="34.5" customHeight="1"/>
    <row r="848" ht="34.5" customHeight="1"/>
    <row r="849" ht="34.5" customHeight="1"/>
    <row r="850" ht="34.5" customHeight="1"/>
    <row r="851" ht="34.5" customHeight="1"/>
    <row r="852" ht="34.5" customHeight="1"/>
    <row r="853" ht="34.5" customHeight="1"/>
    <row r="854" ht="34.5" customHeight="1"/>
    <row r="855" ht="34.5" customHeight="1"/>
    <row r="856" ht="34.5" customHeight="1"/>
    <row r="857" ht="34.5" customHeight="1"/>
    <row r="858" ht="34.5" customHeight="1"/>
    <row r="859" ht="34.5" customHeight="1"/>
    <row r="860" ht="34.5" customHeight="1"/>
    <row r="861" ht="34.5" customHeight="1"/>
    <row r="862" ht="34.5" customHeight="1"/>
    <row r="863" ht="34.5" customHeight="1"/>
    <row r="864" ht="34.5" customHeight="1"/>
    <row r="865" ht="34.5" customHeight="1"/>
    <row r="866" ht="34.5" customHeight="1"/>
    <row r="867" ht="34.5" customHeight="1"/>
    <row r="868" ht="34.5" customHeight="1"/>
    <row r="869" ht="34.5" customHeight="1"/>
    <row r="870" ht="34.5" customHeight="1"/>
    <row r="871" ht="34.5" customHeight="1"/>
    <row r="872" ht="34.5" customHeight="1"/>
    <row r="873" ht="34.5" customHeight="1"/>
    <row r="874" ht="34.5" customHeight="1"/>
    <row r="875" ht="34.5" customHeight="1"/>
    <row r="876" ht="34.5" customHeight="1"/>
    <row r="877" ht="34.5" customHeight="1"/>
    <row r="878" ht="34.5" customHeight="1"/>
    <row r="879" ht="34.5" customHeight="1"/>
    <row r="880" ht="34.5" customHeight="1"/>
    <row r="881" ht="34.5" customHeight="1"/>
    <row r="882" ht="34.5" customHeight="1"/>
    <row r="883" ht="34.5" customHeight="1"/>
    <row r="884" ht="34.5" customHeight="1"/>
    <row r="885" ht="34.5" customHeight="1"/>
    <row r="886" ht="34.5" customHeight="1"/>
    <row r="887" ht="34.5" customHeight="1"/>
    <row r="888" ht="34.5" customHeight="1"/>
    <row r="889" ht="34.5" customHeight="1"/>
    <row r="890" ht="34.5" customHeight="1"/>
    <row r="891" ht="34.5" customHeight="1"/>
    <row r="892" ht="34.5" customHeight="1"/>
    <row r="893" ht="34.5" customHeight="1"/>
    <row r="894" ht="34.5" customHeight="1"/>
    <row r="895" ht="34.5" customHeight="1"/>
    <row r="896" ht="34.5" customHeight="1"/>
    <row r="897" ht="34.5" customHeight="1"/>
    <row r="898" ht="34.5" customHeight="1"/>
    <row r="899" ht="34.5" customHeight="1"/>
    <row r="900" ht="34.5" customHeight="1"/>
    <row r="901" ht="34.5" customHeight="1"/>
    <row r="902" ht="34.5" customHeight="1"/>
    <row r="903" ht="34.5" customHeight="1"/>
    <row r="904" ht="34.5" customHeight="1"/>
    <row r="905" ht="34.5" customHeight="1"/>
    <row r="906" ht="34.5" customHeight="1"/>
    <row r="907" ht="34.5" customHeight="1"/>
    <row r="908" ht="34.5" customHeight="1"/>
    <row r="909" ht="34.5" customHeight="1"/>
    <row r="910" ht="34.5" customHeight="1"/>
    <row r="911" ht="34.5" customHeight="1"/>
    <row r="912" ht="34.5" customHeight="1"/>
    <row r="913" ht="34.5" customHeight="1"/>
    <row r="914" ht="34.5" customHeight="1"/>
    <row r="915" ht="34.5" customHeight="1"/>
    <row r="916" ht="34.5" customHeight="1"/>
    <row r="917" ht="34.5" customHeight="1"/>
    <row r="918" ht="34.5" customHeight="1"/>
    <row r="919" ht="34.5" customHeight="1"/>
    <row r="920" ht="34.5" customHeight="1"/>
    <row r="921" ht="34.5" customHeight="1"/>
    <row r="922" ht="34.5" customHeight="1"/>
    <row r="923" ht="34.5" customHeight="1"/>
    <row r="924" ht="34.5" customHeight="1"/>
    <row r="925" ht="34.5" customHeight="1"/>
    <row r="926" ht="34.5" customHeight="1"/>
    <row r="927" ht="34.5" customHeight="1"/>
    <row r="928" ht="34.5" customHeight="1"/>
    <row r="929" ht="34.5" customHeight="1"/>
    <row r="930" ht="34.5" customHeight="1"/>
    <row r="931" ht="34.5" customHeight="1"/>
    <row r="932" ht="34.5" customHeight="1"/>
    <row r="933" ht="34.5" customHeight="1"/>
    <row r="934" ht="34.5" customHeight="1"/>
    <row r="935" ht="34.5" customHeight="1"/>
    <row r="936" ht="34.5" customHeight="1"/>
    <row r="937" ht="34.5" customHeight="1"/>
    <row r="938" ht="34.5" customHeight="1"/>
    <row r="939" ht="34.5" customHeight="1"/>
    <row r="940" ht="34.5" customHeight="1"/>
    <row r="941" ht="34.5" customHeight="1"/>
    <row r="942" ht="34.5" customHeight="1"/>
    <row r="943" ht="34.5" customHeight="1"/>
    <row r="944" ht="34.5" customHeight="1"/>
    <row r="945" ht="34.5" customHeight="1"/>
    <row r="946" ht="34.5" customHeight="1"/>
    <row r="947" ht="34.5" customHeight="1"/>
    <row r="948" ht="34.5" customHeight="1"/>
    <row r="949" ht="34.5" customHeight="1"/>
    <row r="950" ht="34.5" customHeight="1"/>
    <row r="951" ht="34.5" customHeight="1"/>
    <row r="952" ht="34.5" customHeight="1"/>
    <row r="953" ht="34.5" customHeight="1"/>
    <row r="954" ht="34.5" customHeight="1"/>
    <row r="955" ht="34.5" customHeight="1"/>
    <row r="956" ht="34.5" customHeight="1"/>
    <row r="957" ht="34.5" customHeight="1"/>
    <row r="958" ht="34.5" customHeight="1"/>
    <row r="959" ht="34.5" customHeight="1"/>
    <row r="960" ht="34.5" customHeight="1"/>
    <row r="961" ht="34.5" customHeight="1"/>
    <row r="962" ht="34.5" customHeight="1"/>
    <row r="963" ht="34.5" customHeight="1"/>
    <row r="964" ht="34.5" customHeight="1"/>
    <row r="965" ht="34.5" customHeight="1"/>
    <row r="966" ht="34.5" customHeight="1"/>
    <row r="967" ht="34.5" customHeight="1"/>
    <row r="968" ht="34.5" customHeight="1"/>
    <row r="969" ht="34.5" customHeight="1"/>
    <row r="970" ht="34.5" customHeight="1"/>
    <row r="971" ht="34.5" customHeight="1"/>
    <row r="972" ht="34.5" customHeight="1"/>
    <row r="973" ht="34.5" customHeight="1"/>
    <row r="974" ht="34.5" customHeight="1"/>
    <row r="975" ht="34.5" customHeight="1"/>
    <row r="976" ht="34.5" customHeight="1"/>
    <row r="977" ht="34.5" customHeight="1"/>
    <row r="978" ht="34.5" customHeight="1"/>
    <row r="979" ht="34.5" customHeight="1"/>
    <row r="980" ht="34.5" customHeight="1"/>
    <row r="981" ht="34.5" customHeight="1"/>
    <row r="982" ht="34.5" customHeight="1"/>
    <row r="983" ht="34.5" customHeight="1"/>
    <row r="984" ht="34.5" customHeight="1"/>
    <row r="985" ht="34.5" customHeight="1"/>
    <row r="986" ht="34.5" customHeight="1"/>
    <row r="987" ht="34.5" customHeight="1"/>
    <row r="988" ht="34.5" customHeight="1"/>
    <row r="989" ht="34.5" customHeight="1"/>
    <row r="990" ht="34.5" customHeight="1"/>
    <row r="991" ht="34.5" customHeight="1"/>
    <row r="992" ht="34.5" customHeight="1"/>
    <row r="993" ht="34.5" customHeight="1"/>
    <row r="994" ht="34.5" customHeight="1"/>
    <row r="995" ht="34.5" customHeight="1"/>
    <row r="996" ht="34.5" customHeight="1"/>
    <row r="997" ht="34.5" customHeight="1"/>
    <row r="998" ht="34.5" customHeight="1"/>
    <row r="999" ht="34.5" customHeight="1"/>
    <row r="1000" ht="34.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2.29"/>
    <col customWidth="1" min="3" max="3" width="92.0"/>
  </cols>
  <sheetData>
    <row r="1" ht="36.0" customHeight="1">
      <c r="A1" s="16" t="s">
        <v>2196</v>
      </c>
      <c r="B1" s="16" t="str">
        <f>IMAGE("https://lmztiles.s3.eu-west-1.amazonaws.com/Modern_Interiors_v41.3.4/1_Interiors/16x16/Theme_Sorter_Singles/12_Kitchen_Singles/Kitchen_Singles_1.png")</f>
        <v/>
      </c>
    </row>
    <row r="2" ht="36.0" customHeight="1">
      <c r="A2" s="16" t="s">
        <v>2197</v>
      </c>
      <c r="B2" s="16" t="str">
        <f>IMAGE("https://lmztiles.s3.eu-west-1.amazonaws.com/Modern_Interiors_v41.3.4/1_Interiors/16x16/Theme_Sorter_Singles/12_Kitchen_Singles/Kitchen_Singles_3.png")</f>
        <v/>
      </c>
    </row>
    <row r="3" ht="36.0" customHeight="1">
      <c r="A3" s="16" t="s">
        <v>2198</v>
      </c>
      <c r="B3" s="16" t="str">
        <f>IMAGE("https://lmztiles.s3.eu-west-1.amazonaws.com/Modern_Interiors_v41.3.4/1_Interiors/16x16/Theme_Sorter_Singles/12_Kitchen_Singles/Kitchen_Singles_4.png")</f>
        <v/>
      </c>
    </row>
    <row r="4" ht="36.0" customHeight="1">
      <c r="A4" s="16" t="s">
        <v>2199</v>
      </c>
      <c r="B4" s="16" t="str">
        <f>IMAGE("https://lmztiles.s3.eu-west-1.amazonaws.com/Modern_Interiors_v41.3.4/1_Interiors/16x16/Theme_Sorter_Singles/12_Kitchen_Singles/Kitchen_Singles_5.png")</f>
        <v/>
      </c>
    </row>
    <row r="5" ht="36.0" customHeight="1">
      <c r="A5" s="16" t="s">
        <v>2200</v>
      </c>
      <c r="B5" s="16" t="str">
        <f>IMAGE("https://lmztiles.s3.eu-west-1.amazonaws.com/Modern_Interiors_v41.3.4/1_Interiors/16x16/Theme_Sorter_Singles/12_Kitchen_Singles/Kitchen_Singles_6.png")</f>
        <v/>
      </c>
    </row>
    <row r="6" ht="36.0" customHeight="1">
      <c r="A6" s="16" t="s">
        <v>2201</v>
      </c>
      <c r="B6" s="16" t="str">
        <f>IMAGE("https://lmztiles.s3.eu-west-1.amazonaws.com/Modern_Interiors_v41.3.4/1_Interiors/16x16/Theme_Sorter_Singles/12_Kitchen_Singles/Kitchen_Singles_7.png")</f>
        <v/>
      </c>
    </row>
    <row r="7" ht="36.0" customHeight="1">
      <c r="A7" s="16" t="s">
        <v>2202</v>
      </c>
      <c r="B7" s="16" t="str">
        <f>IMAGE("https://lmztiles.s3.eu-west-1.amazonaws.com/Modern_Interiors_v41.3.4/1_Interiors/16x16/Theme_Sorter_Singles/12_Kitchen_Singles/Kitchen_Singles_8.png")</f>
        <v/>
      </c>
    </row>
    <row r="8" ht="36.0" customHeight="1">
      <c r="A8" s="16" t="s">
        <v>2203</v>
      </c>
      <c r="B8" s="16" t="str">
        <f>IMAGE("https://lmztiles.s3.eu-west-1.amazonaws.com/Modern_Interiors_v41.3.4/1_Interiors/16x16/Theme_Sorter_Singles/12_Kitchen_Singles/Kitchen_Singles_9.png")</f>
        <v/>
      </c>
    </row>
    <row r="9" ht="36.0" customHeight="1">
      <c r="A9" s="16" t="s">
        <v>2204</v>
      </c>
      <c r="B9" s="16" t="str">
        <f>IMAGE("https://lmztiles.s3.eu-west-1.amazonaws.com/Modern_Interiors_v41.3.4/1_Interiors/16x16/Theme_Sorter_Singles/12_Kitchen_Singles/Kitchen_Singles_10.png")</f>
        <v/>
      </c>
    </row>
    <row r="10" ht="36.0" customHeight="1">
      <c r="A10" s="16" t="s">
        <v>2205</v>
      </c>
      <c r="B10" s="16" t="str">
        <f>IMAGE("https://lmztiles.s3.eu-west-1.amazonaws.com/Modern_Interiors_v41.3.4/1_Interiors/16x16/Theme_Sorter_Singles/12_Kitchen_Singles/Kitchen_Singles_11.png")</f>
        <v/>
      </c>
    </row>
    <row r="11" ht="36.0" customHeight="1">
      <c r="A11" s="16" t="s">
        <v>2206</v>
      </c>
      <c r="B11" s="16" t="str">
        <f>IMAGE("https://lmztiles.s3.eu-west-1.amazonaws.com/Modern_Interiors_v41.3.4/1_Interiors/16x16/Theme_Sorter_Singles/12_Kitchen_Singles/Kitchen_Singles_12.png")</f>
        <v/>
      </c>
    </row>
    <row r="12" ht="36.0" customHeight="1">
      <c r="A12" s="16" t="s">
        <v>2207</v>
      </c>
      <c r="B12" s="16" t="str">
        <f>IMAGE("https://lmztiles.s3.eu-west-1.amazonaws.com/Modern_Interiors_v41.3.4/1_Interiors/16x16/Theme_Sorter_Singles/12_Kitchen_Singles/Kitchen_Singles_13.png")</f>
        <v/>
      </c>
    </row>
    <row r="13" ht="36.0" customHeight="1">
      <c r="A13" s="16" t="s">
        <v>2208</v>
      </c>
      <c r="B13" s="16" t="str">
        <f>IMAGE("https://lmztiles.s3.eu-west-1.amazonaws.com/Modern_Interiors_v41.3.4/1_Interiors/16x16/Theme_Sorter_Singles/12_Kitchen_Singles/Kitchen_Singles_14.png")</f>
        <v/>
      </c>
    </row>
    <row r="14" ht="36.0" customHeight="1">
      <c r="A14" s="16" t="s">
        <v>2209</v>
      </c>
      <c r="B14" s="16" t="str">
        <f>IMAGE("https://lmztiles.s3.eu-west-1.amazonaws.com/Modern_Interiors_v41.3.4/1_Interiors/16x16/Theme_Sorter_Singles/12_Kitchen_Singles/Kitchen_Singles_15.png")</f>
        <v/>
      </c>
    </row>
    <row r="15" ht="36.0" customHeight="1">
      <c r="A15" s="16" t="s">
        <v>2210</v>
      </c>
      <c r="B15" s="16" t="str">
        <f>IMAGE("https://lmztiles.s3.eu-west-1.amazonaws.com/Modern_Interiors_v41.3.4/1_Interiors/16x16/Theme_Sorter_Singles/12_Kitchen_Singles/Kitchen_Singles_16.png")</f>
        <v/>
      </c>
    </row>
    <row r="16" ht="36.0" customHeight="1">
      <c r="A16" s="16" t="s">
        <v>2211</v>
      </c>
      <c r="B16" s="16" t="str">
        <f>IMAGE("https://lmztiles.s3.eu-west-1.amazonaws.com/Modern_Interiors_v41.3.4/1_Interiors/16x16/Theme_Sorter_Singles/12_Kitchen_Singles/Kitchen_Singles_17.png")</f>
        <v/>
      </c>
    </row>
    <row r="17" ht="36.0" customHeight="1">
      <c r="A17" s="16" t="s">
        <v>2212</v>
      </c>
      <c r="B17" s="16" t="str">
        <f>IMAGE("https://lmztiles.s3.eu-west-1.amazonaws.com/Modern_Interiors_v41.3.4/1_Interiors/16x16/Theme_Sorter_Singles/12_Kitchen_Singles/Kitchen_Singles_18.png")</f>
        <v/>
      </c>
    </row>
    <row r="18" ht="36.0" customHeight="1">
      <c r="A18" s="16" t="s">
        <v>2213</v>
      </c>
      <c r="B18" s="16" t="str">
        <f>IMAGE("https://lmztiles.s3.eu-west-1.amazonaws.com/Modern_Interiors_v41.3.4/1_Interiors/16x16/Theme_Sorter_Singles/12_Kitchen_Singles/Kitchen_Singles_19.png")</f>
        <v/>
      </c>
    </row>
    <row r="19" ht="36.0" customHeight="1">
      <c r="A19" s="16" t="s">
        <v>2214</v>
      </c>
      <c r="B19" s="16" t="str">
        <f>IMAGE("https://lmztiles.s3.eu-west-1.amazonaws.com/Modern_Interiors_v41.3.4/1_Interiors/16x16/Theme_Sorter_Singles/12_Kitchen_Singles/Kitchen_Singles_20.png")</f>
        <v/>
      </c>
    </row>
    <row r="20" ht="36.0" customHeight="1">
      <c r="A20" s="16" t="s">
        <v>2215</v>
      </c>
      <c r="B20" s="16" t="str">
        <f>IMAGE("https://lmztiles.s3.eu-west-1.amazonaws.com/Modern_Interiors_v41.3.4/1_Interiors/16x16/Theme_Sorter_Singles/12_Kitchen_Singles/Kitchen_Singles_21.png")</f>
        <v/>
      </c>
    </row>
    <row r="21" ht="36.0" customHeight="1">
      <c r="A21" s="16" t="s">
        <v>2216</v>
      </c>
      <c r="B21" s="16" t="str">
        <f>IMAGE("https://lmztiles.s3.eu-west-1.amazonaws.com/Modern_Interiors_v41.3.4/1_Interiors/16x16/Theme_Sorter_Singles/12_Kitchen_Singles/Kitchen_Singles_22.png")</f>
        <v/>
      </c>
    </row>
    <row r="22" ht="36.0" customHeight="1">
      <c r="A22" s="16" t="s">
        <v>2217</v>
      </c>
      <c r="B22" s="16" t="str">
        <f>IMAGE("https://lmztiles.s3.eu-west-1.amazonaws.com/Modern_Interiors_v41.3.4/1_Interiors/16x16/Theme_Sorter_Singles/12_Kitchen_Singles/Kitchen_Singles_23.png")</f>
        <v/>
      </c>
    </row>
    <row r="23" ht="36.0" customHeight="1">
      <c r="A23" s="16" t="s">
        <v>2218</v>
      </c>
      <c r="B23" s="16" t="str">
        <f>IMAGE("https://lmztiles.s3.eu-west-1.amazonaws.com/Modern_Interiors_v41.3.4/1_Interiors/16x16/Theme_Sorter_Singles/12_Kitchen_Singles/Kitchen_Singles_24.png")</f>
        <v/>
      </c>
    </row>
    <row r="24" ht="36.0" customHeight="1">
      <c r="A24" s="16" t="s">
        <v>2219</v>
      </c>
      <c r="B24" s="16" t="str">
        <f>IMAGE("https://lmztiles.s3.eu-west-1.amazonaws.com/Modern_Interiors_v41.3.4/1_Interiors/16x16/Theme_Sorter_Singles/12_Kitchen_Singles/Kitchen_Singles_25.png")</f>
        <v/>
      </c>
    </row>
    <row r="25" ht="36.0" customHeight="1">
      <c r="A25" s="16" t="s">
        <v>2220</v>
      </c>
      <c r="B25" s="16" t="str">
        <f>IMAGE("https://lmztiles.s3.eu-west-1.amazonaws.com/Modern_Interiors_v41.3.4/1_Interiors/16x16/Theme_Sorter_Singles/12_Kitchen_Singles/Kitchen_Singles_26.png")</f>
        <v/>
      </c>
    </row>
    <row r="26" ht="36.0" customHeight="1">
      <c r="A26" s="16" t="s">
        <v>2221</v>
      </c>
      <c r="B26" s="16" t="str">
        <f>IMAGE("https://lmztiles.s3.eu-west-1.amazonaws.com/Modern_Interiors_v41.3.4/1_Interiors/16x16/Theme_Sorter_Singles/12_Kitchen_Singles/Kitchen_Singles_27.png")</f>
        <v/>
      </c>
    </row>
    <row r="27" ht="36.0" customHeight="1">
      <c r="A27" s="16" t="s">
        <v>2222</v>
      </c>
      <c r="B27" s="16" t="str">
        <f>IMAGE("https://lmztiles.s3.eu-west-1.amazonaws.com/Modern_Interiors_v41.3.4/1_Interiors/16x16/Theme_Sorter_Singles/12_Kitchen_Singles/Kitchen_Singles_28.png")</f>
        <v/>
      </c>
    </row>
    <row r="28" ht="36.0" customHeight="1">
      <c r="A28" s="16" t="s">
        <v>2223</v>
      </c>
      <c r="B28" s="16" t="str">
        <f>IMAGE("https://lmztiles.s3.eu-west-1.amazonaws.com/Modern_Interiors_v41.3.4/1_Interiors/16x16/Theme_Sorter_Singles/12_Kitchen_Singles/Kitchen_Singles_29.png")</f>
        <v/>
      </c>
    </row>
    <row r="29" ht="36.0" customHeight="1">
      <c r="A29" s="16" t="s">
        <v>2224</v>
      </c>
      <c r="B29" s="16" t="str">
        <f>IMAGE("https://lmztiles.s3.eu-west-1.amazonaws.com/Modern_Interiors_v41.3.4/1_Interiors/16x16/Theme_Sorter_Singles/12_Kitchen_Singles/Kitchen_Singles_30.png")</f>
        <v/>
      </c>
    </row>
    <row r="30" ht="36.0" customHeight="1">
      <c r="A30" s="16" t="s">
        <v>2225</v>
      </c>
      <c r="B30" s="16" t="str">
        <f>IMAGE("https://lmztiles.s3.eu-west-1.amazonaws.com/Modern_Interiors_v41.3.4/1_Interiors/16x16/Theme_Sorter_Singles/12_Kitchen_Singles/Kitchen_Singles_31.png")</f>
        <v/>
      </c>
    </row>
    <row r="31" ht="36.0" customHeight="1">
      <c r="A31" s="16" t="s">
        <v>2226</v>
      </c>
      <c r="B31" s="16" t="str">
        <f>IMAGE("https://lmztiles.s3.eu-west-1.amazonaws.com/Modern_Interiors_v41.3.4/1_Interiors/16x16/Theme_Sorter_Singles/12_Kitchen_Singles/Kitchen_Singles_32.png")</f>
        <v/>
      </c>
    </row>
    <row r="32" ht="36.0" customHeight="1">
      <c r="A32" s="16" t="s">
        <v>2227</v>
      </c>
      <c r="B32" s="16" t="str">
        <f>IMAGE("https://lmztiles.s3.eu-west-1.amazonaws.com/Modern_Interiors_v41.3.4/1_Interiors/16x16/Theme_Sorter_Singles/12_Kitchen_Singles/Kitchen_Singles_33.png")</f>
        <v/>
      </c>
    </row>
    <row r="33" ht="36.0" customHeight="1">
      <c r="A33" s="16" t="s">
        <v>2228</v>
      </c>
      <c r="B33" s="16" t="str">
        <f>IMAGE("https://lmztiles.s3.eu-west-1.amazonaws.com/Modern_Interiors_v41.3.4/1_Interiors/16x16/Theme_Sorter_Singles/12_Kitchen_Singles/Kitchen_Singles_34.png")</f>
        <v/>
      </c>
    </row>
    <row r="34" ht="36.0" customHeight="1">
      <c r="A34" s="16" t="s">
        <v>2229</v>
      </c>
      <c r="B34" s="16" t="str">
        <f>IMAGE("https://lmztiles.s3.eu-west-1.amazonaws.com/Modern_Interiors_v41.3.4/1_Interiors/16x16/Theme_Sorter_Singles/12_Kitchen_Singles/Kitchen_Singles_35.png")</f>
        <v/>
      </c>
    </row>
    <row r="35" ht="36.0" customHeight="1">
      <c r="A35" s="16" t="s">
        <v>2230</v>
      </c>
      <c r="B35" s="16" t="str">
        <f>IMAGE("https://lmztiles.s3.eu-west-1.amazonaws.com/Modern_Interiors_v41.3.4/1_Interiors/16x16/Theme_Sorter_Singles/12_Kitchen_Singles/Kitchen_Singles_36.png")</f>
        <v/>
      </c>
    </row>
    <row r="36" ht="36.0" customHeight="1">
      <c r="A36" s="16" t="s">
        <v>2231</v>
      </c>
      <c r="B36" s="16" t="str">
        <f>IMAGE("https://lmztiles.s3.eu-west-1.amazonaws.com/Modern_Interiors_v41.3.4/1_Interiors/16x16/Theme_Sorter_Singles/12_Kitchen_Singles/Kitchen_Singles_37.png")</f>
        <v/>
      </c>
    </row>
    <row r="37" ht="36.0" customHeight="1">
      <c r="A37" s="16" t="s">
        <v>2232</v>
      </c>
      <c r="B37" s="16" t="str">
        <f>IMAGE("https://lmztiles.s3.eu-west-1.amazonaws.com/Modern_Interiors_v41.3.4/1_Interiors/16x16/Theme_Sorter_Singles/12_Kitchen_Singles/Kitchen_Singles_38.png")</f>
        <v/>
      </c>
    </row>
    <row r="38" ht="36.0" customHeight="1">
      <c r="A38" s="16" t="s">
        <v>2233</v>
      </c>
      <c r="B38" s="16" t="str">
        <f>IMAGE("https://lmztiles.s3.eu-west-1.amazonaws.com/Modern_Interiors_v41.3.4/1_Interiors/16x16/Theme_Sorter_Singles/12_Kitchen_Singles/Kitchen_Singles_39.png")</f>
        <v/>
      </c>
    </row>
    <row r="39" ht="36.0" customHeight="1">
      <c r="A39" s="16" t="s">
        <v>2234</v>
      </c>
      <c r="B39" s="16" t="str">
        <f>IMAGE("https://lmztiles.s3.eu-west-1.amazonaws.com/Modern_Interiors_v41.3.4/1_Interiors/16x16/Theme_Sorter_Singles/12_Kitchen_Singles/Kitchen_Singles_40.png")</f>
        <v/>
      </c>
    </row>
    <row r="40" ht="36.0" customHeight="1">
      <c r="A40" s="16" t="s">
        <v>2235</v>
      </c>
      <c r="B40" s="16" t="str">
        <f>IMAGE("https://lmztiles.s3.eu-west-1.amazonaws.com/Modern_Interiors_v41.3.4/1_Interiors/16x16/Theme_Sorter_Singles/12_Kitchen_Singles/Kitchen_Singles_41.png")</f>
        <v/>
      </c>
    </row>
    <row r="41" ht="36.0" customHeight="1">
      <c r="A41" s="16" t="s">
        <v>2236</v>
      </c>
      <c r="B41" s="16" t="str">
        <f>IMAGE("https://lmztiles.s3.eu-west-1.amazonaws.com/Modern_Interiors_v41.3.4/1_Interiors/16x16/Theme_Sorter_Singles/12_Kitchen_Singles/Kitchen_Singles_42.png")</f>
        <v/>
      </c>
    </row>
    <row r="42" ht="36.0" customHeight="1">
      <c r="A42" s="16" t="s">
        <v>2237</v>
      </c>
      <c r="B42" s="16" t="str">
        <f>IMAGE("https://lmztiles.s3.eu-west-1.amazonaws.com/Modern_Interiors_v41.3.4/1_Interiors/16x16/Theme_Sorter_Singles/12_Kitchen_Singles/Kitchen_Singles_43.png")</f>
        <v/>
      </c>
    </row>
    <row r="43" ht="36.0" customHeight="1">
      <c r="A43" s="16" t="s">
        <v>2238</v>
      </c>
      <c r="B43" s="16" t="str">
        <f>IMAGE("https://lmztiles.s3.eu-west-1.amazonaws.com/Modern_Interiors_v41.3.4/1_Interiors/16x16/Theme_Sorter_Singles/12_Kitchen_Singles/Kitchen_Singles_44.png")</f>
        <v/>
      </c>
    </row>
    <row r="44" ht="36.0" customHeight="1">
      <c r="A44" s="16" t="s">
        <v>2239</v>
      </c>
      <c r="B44" s="16" t="str">
        <f>IMAGE("https://lmztiles.s3.eu-west-1.amazonaws.com/Modern_Interiors_v41.3.4/1_Interiors/16x16/Theme_Sorter_Singles/12_Kitchen_Singles/Kitchen_Singles_45.png")</f>
        <v/>
      </c>
    </row>
    <row r="45" ht="36.0" customHeight="1">
      <c r="A45" s="16" t="s">
        <v>2240</v>
      </c>
      <c r="B45" s="16" t="str">
        <f>IMAGE("https://lmztiles.s3.eu-west-1.amazonaws.com/Modern_Interiors_v41.3.4/1_Interiors/16x16/Theme_Sorter_Singles/12_Kitchen_Singles/Kitchen_Singles_46.png")</f>
        <v/>
      </c>
    </row>
    <row r="46" ht="36.0" customHeight="1">
      <c r="A46" s="16" t="s">
        <v>2241</v>
      </c>
      <c r="B46" s="16" t="str">
        <f>IMAGE("https://lmztiles.s3.eu-west-1.amazonaws.com/Modern_Interiors_v41.3.4/1_Interiors/16x16/Theme_Sorter_Singles/12_Kitchen_Singles/Kitchen_Singles_47.png")</f>
        <v/>
      </c>
    </row>
    <row r="47" ht="36.0" customHeight="1">
      <c r="A47" s="16" t="s">
        <v>2242</v>
      </c>
      <c r="B47" s="16" t="str">
        <f>IMAGE("https://lmztiles.s3.eu-west-1.amazonaws.com/Modern_Interiors_v41.3.4/1_Interiors/16x16/Theme_Sorter_Singles/12_Kitchen_Singles/Kitchen_Singles_48.png")</f>
        <v/>
      </c>
    </row>
    <row r="48" ht="36.0" customHeight="1">
      <c r="A48" s="16" t="s">
        <v>2243</v>
      </c>
      <c r="B48" s="16" t="str">
        <f>IMAGE("https://lmztiles.s3.eu-west-1.amazonaws.com/Modern_Interiors_v41.3.4/1_Interiors/16x16/Theme_Sorter_Singles/12_Kitchen_Singles/Kitchen_Singles_49.png")</f>
        <v/>
      </c>
    </row>
    <row r="49" ht="36.0" customHeight="1">
      <c r="A49" s="16" t="s">
        <v>2244</v>
      </c>
      <c r="B49" s="16" t="str">
        <f>IMAGE("https://lmztiles.s3.eu-west-1.amazonaws.com/Modern_Interiors_v41.3.4/1_Interiors/16x16/Theme_Sorter_Singles/12_Kitchen_Singles/Kitchen_Singles_50.png")</f>
        <v/>
      </c>
    </row>
    <row r="50" ht="36.0" customHeight="1">
      <c r="A50" s="16" t="s">
        <v>2245</v>
      </c>
      <c r="B50" s="16" t="str">
        <f>IMAGE("https://lmztiles.s3.eu-west-1.amazonaws.com/Modern_Interiors_v41.3.4/1_Interiors/16x16/Theme_Sorter_Singles/12_Kitchen_Singles/Kitchen_Singles_51.png")</f>
        <v/>
      </c>
    </row>
    <row r="51" ht="36.0" customHeight="1">
      <c r="A51" s="16" t="s">
        <v>2246</v>
      </c>
      <c r="B51" s="16" t="str">
        <f>IMAGE("https://lmztiles.s3.eu-west-1.amazonaws.com/Modern_Interiors_v41.3.4/1_Interiors/16x16/Theme_Sorter_Singles/12_Kitchen_Singles/Kitchen_Singles_52.png")</f>
        <v/>
      </c>
    </row>
    <row r="52" ht="36.0" customHeight="1">
      <c r="A52" s="16" t="s">
        <v>2247</v>
      </c>
      <c r="B52" s="16" t="str">
        <f>IMAGE("https://lmztiles.s3.eu-west-1.amazonaws.com/Modern_Interiors_v41.3.4/1_Interiors/16x16/Theme_Sorter_Singles/12_Kitchen_Singles/Kitchen_Singles_53.png")</f>
        <v/>
      </c>
    </row>
    <row r="53" ht="36.0" customHeight="1">
      <c r="A53" s="16" t="s">
        <v>2248</v>
      </c>
      <c r="B53" s="16" t="str">
        <f>IMAGE("https://lmztiles.s3.eu-west-1.amazonaws.com/Modern_Interiors_v41.3.4/1_Interiors/16x16/Theme_Sorter_Singles/12_Kitchen_Singles/Kitchen_Singles_54.png")</f>
        <v/>
      </c>
    </row>
    <row r="54" ht="36.0" customHeight="1">
      <c r="A54" s="16" t="s">
        <v>2249</v>
      </c>
      <c r="B54" s="16" t="str">
        <f>IMAGE("https://lmztiles.s3.eu-west-1.amazonaws.com/Modern_Interiors_v41.3.4/1_Interiors/16x16/Theme_Sorter_Singles/12_Kitchen_Singles/Kitchen_Singles_55.png")</f>
        <v/>
      </c>
    </row>
    <row r="55" ht="36.0" customHeight="1">
      <c r="A55" s="16" t="s">
        <v>2250</v>
      </c>
      <c r="B55" s="16" t="str">
        <f>IMAGE("https://lmztiles.s3.eu-west-1.amazonaws.com/Modern_Interiors_v41.3.4/1_Interiors/16x16/Theme_Sorter_Singles/12_Kitchen_Singles/Kitchen_Singles_56.png")</f>
        <v/>
      </c>
    </row>
    <row r="56" ht="36.0" customHeight="1">
      <c r="A56" s="16" t="s">
        <v>2251</v>
      </c>
      <c r="B56" s="16" t="str">
        <f>IMAGE("https://lmztiles.s3.eu-west-1.amazonaws.com/Modern_Interiors_v41.3.4/1_Interiors/16x16/Theme_Sorter_Singles/12_Kitchen_Singles/Kitchen_Singles_57.png")</f>
        <v/>
      </c>
    </row>
    <row r="57" ht="36.0" customHeight="1">
      <c r="A57" s="16" t="s">
        <v>2252</v>
      </c>
      <c r="B57" s="16" t="str">
        <f>IMAGE("https://lmztiles.s3.eu-west-1.amazonaws.com/Modern_Interiors_v41.3.4/1_Interiors/16x16/Theme_Sorter_Singles/12_Kitchen_Singles/Kitchen_Singles_58.png")</f>
        <v/>
      </c>
    </row>
    <row r="58" ht="36.0" customHeight="1">
      <c r="A58" s="16" t="s">
        <v>2253</v>
      </c>
      <c r="B58" s="16" t="str">
        <f>IMAGE("https://lmztiles.s3.eu-west-1.amazonaws.com/Modern_Interiors_v41.3.4/1_Interiors/16x16/Theme_Sorter_Singles/12_Kitchen_Singles/Kitchen_Singles_59.png")</f>
        <v/>
      </c>
    </row>
    <row r="59" ht="36.0" customHeight="1">
      <c r="A59" s="16" t="s">
        <v>2254</v>
      </c>
      <c r="B59" s="16" t="str">
        <f>IMAGE("https://lmztiles.s3.eu-west-1.amazonaws.com/Modern_Interiors_v41.3.4/1_Interiors/16x16/Theme_Sorter_Singles/12_Kitchen_Singles/Kitchen_Singles_60.png")</f>
        <v/>
      </c>
    </row>
    <row r="60" ht="36.0" customHeight="1">
      <c r="A60" s="16" t="s">
        <v>2255</v>
      </c>
      <c r="B60" s="16" t="str">
        <f>IMAGE("https://lmztiles.s3.eu-west-1.amazonaws.com/Modern_Interiors_v41.3.4/1_Interiors/16x16/Theme_Sorter_Singles/12_Kitchen_Singles/Kitchen_Singles_61.png")</f>
        <v/>
      </c>
    </row>
    <row r="61" ht="36.0" customHeight="1">
      <c r="A61" s="16" t="s">
        <v>2256</v>
      </c>
      <c r="B61" s="16" t="str">
        <f>IMAGE("https://lmztiles.s3.eu-west-1.amazonaws.com/Modern_Interiors_v41.3.4/1_Interiors/16x16/Theme_Sorter_Singles/12_Kitchen_Singles/Kitchen_Singles_62.png")</f>
        <v/>
      </c>
    </row>
    <row r="62" ht="36.0" customHeight="1">
      <c r="A62" s="16" t="s">
        <v>2257</v>
      </c>
      <c r="B62" s="16" t="str">
        <f>IMAGE("https://lmztiles.s3.eu-west-1.amazonaws.com/Modern_Interiors_v41.3.4/1_Interiors/16x16/Theme_Sorter_Singles/12_Kitchen_Singles/Kitchen_Singles_63.png")</f>
        <v/>
      </c>
    </row>
    <row r="63" ht="36.0" customHeight="1">
      <c r="A63" s="16" t="s">
        <v>2258</v>
      </c>
      <c r="B63" s="16" t="str">
        <f>IMAGE("https://lmztiles.s3.eu-west-1.amazonaws.com/Modern_Interiors_v41.3.4/1_Interiors/16x16/Theme_Sorter_Singles/12_Kitchen_Singles/Kitchen_Singles_64.png")</f>
        <v/>
      </c>
    </row>
    <row r="64" ht="36.0" customHeight="1">
      <c r="A64" s="16" t="s">
        <v>2259</v>
      </c>
      <c r="B64" s="16" t="str">
        <f>IMAGE("https://lmztiles.s3.eu-west-1.amazonaws.com/Modern_Interiors_v41.3.4/1_Interiors/16x16/Theme_Sorter_Singles/12_Kitchen_Singles/Kitchen_Singles_65.png")</f>
        <v/>
      </c>
    </row>
    <row r="65" ht="36.0" customHeight="1">
      <c r="A65" s="16" t="s">
        <v>2260</v>
      </c>
      <c r="B65" s="16" t="str">
        <f>IMAGE("https://lmztiles.s3.eu-west-1.amazonaws.com/Modern_Interiors_v41.3.4/1_Interiors/16x16/Theme_Sorter_Singles/12_Kitchen_Singles/Kitchen_Singles_66.png")</f>
        <v/>
      </c>
    </row>
    <row r="66" ht="36.0" customHeight="1">
      <c r="A66" s="16" t="s">
        <v>2261</v>
      </c>
      <c r="B66" s="16" t="str">
        <f>IMAGE("https://lmztiles.s3.eu-west-1.amazonaws.com/Modern_Interiors_v41.3.4/1_Interiors/16x16/Theme_Sorter_Singles/12_Kitchen_Singles/Kitchen_Singles_67.png")</f>
        <v/>
      </c>
    </row>
    <row r="67" ht="36.0" customHeight="1">
      <c r="A67" s="16" t="s">
        <v>2262</v>
      </c>
      <c r="B67" s="16" t="str">
        <f>IMAGE("https://lmztiles.s3.eu-west-1.amazonaws.com/Modern_Interiors_v41.3.4/1_Interiors/16x16/Theme_Sorter_Singles/12_Kitchen_Singles/Kitchen_Singles_68.png")</f>
        <v/>
      </c>
    </row>
    <row r="68" ht="36.0" customHeight="1">
      <c r="A68" s="16" t="s">
        <v>2263</v>
      </c>
      <c r="B68" s="16" t="str">
        <f>IMAGE("https://lmztiles.s3.eu-west-1.amazonaws.com/Modern_Interiors_v41.3.4/1_Interiors/16x16/Theme_Sorter_Singles/12_Kitchen_Singles/Kitchen_Singles_69.png")</f>
        <v/>
      </c>
    </row>
    <row r="69" ht="36.0" customHeight="1">
      <c r="A69" s="16" t="s">
        <v>2264</v>
      </c>
      <c r="B69" s="16" t="str">
        <f>IMAGE("https://lmztiles.s3.eu-west-1.amazonaws.com/Modern_Interiors_v41.3.4/1_Interiors/16x16/Theme_Sorter_Singles/12_Kitchen_Singles/Kitchen_Singles_70.png")</f>
        <v/>
      </c>
    </row>
    <row r="70" ht="36.0" customHeight="1">
      <c r="A70" s="16" t="s">
        <v>2265</v>
      </c>
      <c r="B70" s="16" t="str">
        <f>IMAGE("https://lmztiles.s3.eu-west-1.amazonaws.com/Modern_Interiors_v41.3.4/1_Interiors/16x16/Theme_Sorter_Singles/12_Kitchen_Singles/Kitchen_Singles_71.png")</f>
        <v/>
      </c>
    </row>
    <row r="71" ht="36.0" customHeight="1">
      <c r="A71" s="16" t="s">
        <v>2266</v>
      </c>
      <c r="B71" s="16" t="str">
        <f>IMAGE("https://lmztiles.s3.eu-west-1.amazonaws.com/Modern_Interiors_v41.3.4/1_Interiors/16x16/Theme_Sorter_Singles/12_Kitchen_Singles/Kitchen_Singles_72.png")</f>
        <v/>
      </c>
    </row>
    <row r="72" ht="36.0" customHeight="1">
      <c r="A72" s="16" t="s">
        <v>2267</v>
      </c>
      <c r="B72" s="16" t="str">
        <f>IMAGE("https://lmztiles.s3.eu-west-1.amazonaws.com/Modern_Interiors_v41.3.4/1_Interiors/16x16/Theme_Sorter_Singles/12_Kitchen_Singles/Kitchen_Singles_73.png")</f>
        <v/>
      </c>
    </row>
    <row r="73" ht="36.0" customHeight="1">
      <c r="A73" s="16" t="s">
        <v>2268</v>
      </c>
      <c r="B73" s="16" t="str">
        <f>IMAGE("https://lmztiles.s3.eu-west-1.amazonaws.com/Modern_Interiors_v41.3.4/1_Interiors/16x16/Theme_Sorter_Singles/12_Kitchen_Singles/Kitchen_Singles_74.png")</f>
        <v/>
      </c>
    </row>
    <row r="74" ht="36.0" customHeight="1">
      <c r="A74" s="16" t="s">
        <v>2269</v>
      </c>
      <c r="B74" s="16" t="str">
        <f>IMAGE("https://lmztiles.s3.eu-west-1.amazonaws.com/Modern_Interiors_v41.3.4/1_Interiors/16x16/Theme_Sorter_Singles/12_Kitchen_Singles/Kitchen_Singles_75.png")</f>
        <v/>
      </c>
    </row>
    <row r="75" ht="36.0" customHeight="1">
      <c r="A75" s="16" t="s">
        <v>2270</v>
      </c>
      <c r="B75" s="16" t="str">
        <f>IMAGE("https://lmztiles.s3.eu-west-1.amazonaws.com/Modern_Interiors_v41.3.4/1_Interiors/16x16/Theme_Sorter_Singles/12_Kitchen_Singles/Kitchen_Singles_76.png")</f>
        <v/>
      </c>
    </row>
    <row r="76" ht="36.0" customHeight="1">
      <c r="A76" s="16" t="s">
        <v>2271</v>
      </c>
      <c r="B76" s="16" t="str">
        <f>IMAGE("https://lmztiles.s3.eu-west-1.amazonaws.com/Modern_Interiors_v41.3.4/1_Interiors/16x16/Theme_Sorter_Singles/12_Kitchen_Singles/Kitchen_Singles_77.png")</f>
        <v/>
      </c>
    </row>
    <row r="77" ht="36.0" customHeight="1">
      <c r="A77" s="16" t="s">
        <v>2272</v>
      </c>
      <c r="B77" s="16" t="str">
        <f>IMAGE("https://lmztiles.s3.eu-west-1.amazonaws.com/Modern_Interiors_v41.3.4/1_Interiors/16x16/Theme_Sorter_Singles/12_Kitchen_Singles/Kitchen_Singles_78.png")</f>
        <v/>
      </c>
    </row>
    <row r="78" ht="36.0" customHeight="1">
      <c r="A78" s="16" t="s">
        <v>2273</v>
      </c>
      <c r="B78" s="16" t="str">
        <f>IMAGE("https://lmztiles.s3.eu-west-1.amazonaws.com/Modern_Interiors_v41.3.4/1_Interiors/16x16/Theme_Sorter_Singles/12_Kitchen_Singles/Kitchen_Singles_79.png")</f>
        <v/>
      </c>
    </row>
    <row r="79" ht="36.0" customHeight="1">
      <c r="A79" s="16" t="s">
        <v>2274</v>
      </c>
      <c r="B79" s="16" t="str">
        <f>IMAGE("https://lmztiles.s3.eu-west-1.amazonaws.com/Modern_Interiors_v41.3.4/1_Interiors/16x16/Theme_Sorter_Singles/12_Kitchen_Singles/Kitchen_Singles_80.png")</f>
        <v/>
      </c>
    </row>
    <row r="80" ht="36.0" customHeight="1">
      <c r="A80" s="16" t="s">
        <v>2275</v>
      </c>
      <c r="B80" s="16" t="str">
        <f>IMAGE("https://lmztiles.s3.eu-west-1.amazonaws.com/Modern_Interiors_v41.3.4/1_Interiors/16x16/Theme_Sorter_Singles/12_Kitchen_Singles/Kitchen_Singles_81.png")</f>
        <v/>
      </c>
    </row>
    <row r="81" ht="36.0" customHeight="1">
      <c r="A81" s="16" t="s">
        <v>2276</v>
      </c>
      <c r="B81" s="16" t="str">
        <f>IMAGE("https://lmztiles.s3.eu-west-1.amazonaws.com/Modern_Interiors_v41.3.4/1_Interiors/16x16/Theme_Sorter_Singles/12_Kitchen_Singles/Kitchen_Singles_82.png")</f>
        <v/>
      </c>
    </row>
    <row r="82" ht="36.0" customHeight="1">
      <c r="A82" s="16" t="s">
        <v>2277</v>
      </c>
      <c r="B82" s="16" t="str">
        <f>IMAGE("https://lmztiles.s3.eu-west-1.amazonaws.com/Modern_Interiors_v41.3.4/1_Interiors/16x16/Theme_Sorter_Singles/12_Kitchen_Singles/Kitchen_Singles_83.png")</f>
        <v/>
      </c>
    </row>
    <row r="83" ht="36.0" customHeight="1">
      <c r="A83" s="16" t="s">
        <v>2278</v>
      </c>
      <c r="B83" s="16" t="str">
        <f>IMAGE("https://lmztiles.s3.eu-west-1.amazonaws.com/Modern_Interiors_v41.3.4/1_Interiors/16x16/Theme_Sorter_Singles/12_Kitchen_Singles/Kitchen_Singles_84.png")</f>
        <v/>
      </c>
    </row>
    <row r="84" ht="36.0" customHeight="1">
      <c r="A84" s="16" t="s">
        <v>2279</v>
      </c>
      <c r="B84" s="16" t="str">
        <f>IMAGE("https://lmztiles.s3.eu-west-1.amazonaws.com/Modern_Interiors_v41.3.4/1_Interiors/16x16/Theme_Sorter_Singles/12_Kitchen_Singles/Kitchen_Singles_85.png")</f>
        <v/>
      </c>
    </row>
    <row r="85" ht="36.0" customHeight="1">
      <c r="A85" s="16" t="s">
        <v>2280</v>
      </c>
      <c r="B85" s="16" t="str">
        <f>IMAGE("https://lmztiles.s3.eu-west-1.amazonaws.com/Modern_Interiors_v41.3.4/1_Interiors/16x16/Theme_Sorter_Singles/12_Kitchen_Singles/Kitchen_Singles_86.png")</f>
        <v/>
      </c>
    </row>
    <row r="86" ht="36.0" customHeight="1">
      <c r="A86" s="16" t="s">
        <v>2281</v>
      </c>
      <c r="B86" s="16" t="str">
        <f>IMAGE("https://lmztiles.s3.eu-west-1.amazonaws.com/Modern_Interiors_v41.3.4/1_Interiors/16x16/Theme_Sorter_Singles/12_Kitchen_Singles/Kitchen_Singles_87.png")</f>
        <v/>
      </c>
    </row>
    <row r="87" ht="36.0" customHeight="1">
      <c r="A87" s="16" t="s">
        <v>2282</v>
      </c>
      <c r="B87" s="16" t="str">
        <f>IMAGE("https://lmztiles.s3.eu-west-1.amazonaws.com/Modern_Interiors_v41.3.4/1_Interiors/16x16/Theme_Sorter_Singles/12_Kitchen_Singles/Kitchen_Singles_88.png")</f>
        <v/>
      </c>
    </row>
    <row r="88" ht="36.0" customHeight="1">
      <c r="A88" s="16" t="s">
        <v>2283</v>
      </c>
      <c r="B88" s="16" t="str">
        <f>IMAGE("https://lmztiles.s3.eu-west-1.amazonaws.com/Modern_Interiors_v41.3.4/1_Interiors/16x16/Theme_Sorter_Singles/12_Kitchen_Singles/Kitchen_Singles_89.png")</f>
        <v/>
      </c>
    </row>
    <row r="89" ht="36.0" customHeight="1">
      <c r="A89" s="16" t="s">
        <v>2284</v>
      </c>
      <c r="B89" s="16" t="str">
        <f>IMAGE("https://lmztiles.s3.eu-west-1.amazonaws.com/Modern_Interiors_v41.3.4/1_Interiors/16x16/Theme_Sorter_Singles/12_Kitchen_Singles/Kitchen_Singles_90.png")</f>
        <v/>
      </c>
    </row>
    <row r="90" ht="36.0" customHeight="1">
      <c r="A90" s="16" t="s">
        <v>2285</v>
      </c>
      <c r="B90" s="16" t="str">
        <f>IMAGE("https://lmztiles.s3.eu-west-1.amazonaws.com/Modern_Interiors_v41.3.4/1_Interiors/16x16/Theme_Sorter_Singles/12_Kitchen_Singles/Kitchen_Singles_91.png")</f>
        <v/>
      </c>
    </row>
    <row r="91" ht="36.0" customHeight="1">
      <c r="A91" s="16" t="s">
        <v>2286</v>
      </c>
      <c r="B91" s="16" t="str">
        <f>IMAGE("https://lmztiles.s3.eu-west-1.amazonaws.com/Modern_Interiors_v41.3.4/1_Interiors/16x16/Theme_Sorter_Singles/12_Kitchen_Singles/Kitchen_Singles_92.png")</f>
        <v/>
      </c>
    </row>
    <row r="92" ht="36.0" customHeight="1">
      <c r="A92" s="16" t="s">
        <v>2287</v>
      </c>
      <c r="B92" s="16" t="str">
        <f>IMAGE("https://lmztiles.s3.eu-west-1.amazonaws.com/Modern_Interiors_v41.3.4/1_Interiors/16x16/Theme_Sorter_Singles/12_Kitchen_Singles/Kitchen_Singles_93.png")</f>
        <v/>
      </c>
    </row>
    <row r="93" ht="36.0" customHeight="1">
      <c r="A93" s="16" t="s">
        <v>2288</v>
      </c>
      <c r="B93" s="16" t="str">
        <f>IMAGE("https://lmztiles.s3.eu-west-1.amazonaws.com/Modern_Interiors_v41.3.4/1_Interiors/16x16/Theme_Sorter_Singles/12_Kitchen_Singles/Kitchen_Singles_94.png")</f>
        <v/>
      </c>
    </row>
    <row r="94" ht="36.0" customHeight="1">
      <c r="A94" s="16" t="s">
        <v>2289</v>
      </c>
      <c r="B94" s="16" t="str">
        <f>IMAGE("https://lmztiles.s3.eu-west-1.amazonaws.com/Modern_Interiors_v41.3.4/1_Interiors/16x16/Theme_Sorter_Singles/12_Kitchen_Singles/Kitchen_Singles_95.png")</f>
        <v/>
      </c>
    </row>
    <row r="95" ht="36.0" customHeight="1">
      <c r="A95" s="16" t="s">
        <v>2290</v>
      </c>
      <c r="B95" s="16" t="str">
        <f>IMAGE("https://lmztiles.s3.eu-west-1.amazonaws.com/Modern_Interiors_v41.3.4/1_Interiors/16x16/Theme_Sorter_Singles/12_Kitchen_Singles/Kitchen_Singles_96.png")</f>
        <v/>
      </c>
    </row>
    <row r="96" ht="36.0" customHeight="1">
      <c r="A96" s="16" t="s">
        <v>2291</v>
      </c>
      <c r="B96" s="16" t="str">
        <f>IMAGE("https://lmztiles.s3.eu-west-1.amazonaws.com/Modern_Interiors_v41.3.4/1_Interiors/16x16/Theme_Sorter_Singles/12_Kitchen_Singles/Kitchen_Singles_97.png")</f>
        <v/>
      </c>
    </row>
    <row r="97" ht="36.0" customHeight="1">
      <c r="A97" s="16" t="s">
        <v>2292</v>
      </c>
      <c r="B97" s="16" t="str">
        <f>IMAGE("https://lmztiles.s3.eu-west-1.amazonaws.com/Modern_Interiors_v41.3.4/1_Interiors/16x16/Theme_Sorter_Singles/12_Kitchen_Singles/Kitchen_Singles_98.png")</f>
        <v/>
      </c>
    </row>
    <row r="98" ht="36.0" customHeight="1">
      <c r="A98" s="16" t="s">
        <v>2293</v>
      </c>
      <c r="B98" s="16" t="str">
        <f>IMAGE("https://lmztiles.s3.eu-west-1.amazonaws.com/Modern_Interiors_v41.3.4/1_Interiors/16x16/Theme_Sorter_Singles/12_Kitchen_Singles/Kitchen_Singles_99.png")</f>
        <v/>
      </c>
    </row>
    <row r="99" ht="36.0" customHeight="1">
      <c r="A99" s="16" t="s">
        <v>2294</v>
      </c>
      <c r="B99" s="16" t="str">
        <f>IMAGE("https://lmztiles.s3.eu-west-1.amazonaws.com/Modern_Interiors_v41.3.4/1_Interiors/16x16/Theme_Sorter_Singles/12_Kitchen_Singles/Kitchen_Singles_100.png")</f>
        <v/>
      </c>
    </row>
    <row r="100" ht="36.0" customHeight="1">
      <c r="A100" s="16" t="s">
        <v>2295</v>
      </c>
      <c r="B100" s="16" t="str">
        <f>IMAGE("https://lmztiles.s3.eu-west-1.amazonaws.com/Modern_Interiors_v41.3.4/1_Interiors/16x16/Theme_Sorter_Singles/12_Kitchen_Singles/Kitchen_Singles_101.png")</f>
        <v/>
      </c>
    </row>
    <row r="101" ht="36.0" customHeight="1">
      <c r="A101" s="16" t="s">
        <v>2296</v>
      </c>
      <c r="B101" s="16" t="str">
        <f>IMAGE("https://lmztiles.s3.eu-west-1.amazonaws.com/Modern_Interiors_v41.3.4/1_Interiors/16x16/Theme_Sorter_Singles/12_Kitchen_Singles/Kitchen_Singles_102.png")</f>
        <v/>
      </c>
    </row>
    <row r="102" ht="36.0" customHeight="1">
      <c r="A102" s="16" t="s">
        <v>2297</v>
      </c>
      <c r="B102" s="16" t="str">
        <f>IMAGE("https://lmztiles.s3.eu-west-1.amazonaws.com/Modern_Interiors_v41.3.4/1_Interiors/16x16/Theme_Sorter_Singles/12_Kitchen_Singles/Kitchen_Singles_103.png")</f>
        <v/>
      </c>
    </row>
    <row r="103" ht="36.0" customHeight="1">
      <c r="A103" s="16" t="s">
        <v>2298</v>
      </c>
      <c r="B103" s="16" t="str">
        <f>IMAGE("https://lmztiles.s3.eu-west-1.amazonaws.com/Modern_Interiors_v41.3.4/1_Interiors/16x16/Theme_Sorter_Singles/12_Kitchen_Singles/Kitchen_Singles_104.png")</f>
        <v/>
      </c>
    </row>
    <row r="104" ht="36.0" customHeight="1">
      <c r="A104" s="16" t="s">
        <v>2299</v>
      </c>
      <c r="B104" s="16" t="str">
        <f>IMAGE("https://lmztiles.s3.eu-west-1.amazonaws.com/Modern_Interiors_v41.3.4/1_Interiors/16x16/Theme_Sorter_Singles/12_Kitchen_Singles/Kitchen_Singles_105.png")</f>
        <v/>
      </c>
    </row>
    <row r="105" ht="36.0" customHeight="1">
      <c r="A105" s="16" t="s">
        <v>2300</v>
      </c>
      <c r="B105" s="16" t="str">
        <f>IMAGE("https://lmztiles.s3.eu-west-1.amazonaws.com/Modern_Interiors_v41.3.4/1_Interiors/16x16/Theme_Sorter_Singles/12_Kitchen_Singles/Kitchen_Singles_106.png")</f>
        <v/>
      </c>
    </row>
    <row r="106" ht="36.0" customHeight="1">
      <c r="A106" s="16" t="s">
        <v>2301</v>
      </c>
      <c r="B106" s="16" t="str">
        <f>IMAGE("https://lmztiles.s3.eu-west-1.amazonaws.com/Modern_Interiors_v41.3.4/1_Interiors/16x16/Theme_Sorter_Singles/12_Kitchen_Singles/Kitchen_Singles_107.png")</f>
        <v/>
      </c>
    </row>
    <row r="107" ht="36.0" customHeight="1">
      <c r="A107" s="16" t="s">
        <v>2302</v>
      </c>
      <c r="B107" s="16" t="str">
        <f>IMAGE("https://lmztiles.s3.eu-west-1.amazonaws.com/Modern_Interiors_v41.3.4/1_Interiors/16x16/Theme_Sorter_Singles/12_Kitchen_Singles/Kitchen_Singles_108.png")</f>
        <v/>
      </c>
    </row>
    <row r="108" ht="36.0" customHeight="1">
      <c r="A108" s="16" t="s">
        <v>2303</v>
      </c>
      <c r="B108" s="16" t="str">
        <f>IMAGE("https://lmztiles.s3.eu-west-1.amazonaws.com/Modern_Interiors_v41.3.4/1_Interiors/16x16/Theme_Sorter_Singles/12_Kitchen_Singles/Kitchen_Singles_109.png")</f>
        <v/>
      </c>
    </row>
    <row r="109" ht="36.0" customHeight="1">
      <c r="A109" s="16" t="s">
        <v>2304</v>
      </c>
      <c r="B109" s="16" t="str">
        <f>IMAGE("https://lmztiles.s3.eu-west-1.amazonaws.com/Modern_Interiors_v41.3.4/1_Interiors/16x16/Theme_Sorter_Singles/12_Kitchen_Singles/Kitchen_Singles_110.png")</f>
        <v/>
      </c>
    </row>
    <row r="110" ht="36.0" customHeight="1">
      <c r="A110" s="16" t="s">
        <v>2305</v>
      </c>
      <c r="B110" s="16" t="str">
        <f>IMAGE("https://lmztiles.s3.eu-west-1.amazonaws.com/Modern_Interiors_v41.3.4/1_Interiors/16x16/Theme_Sorter_Singles/12_Kitchen_Singles/Kitchen_Singles_111.png")</f>
        <v/>
      </c>
    </row>
    <row r="111" ht="36.0" customHeight="1">
      <c r="A111" s="16" t="s">
        <v>2306</v>
      </c>
      <c r="B111" s="16" t="str">
        <f>IMAGE("https://lmztiles.s3.eu-west-1.amazonaws.com/Modern_Interiors_v41.3.4/1_Interiors/16x16/Theme_Sorter_Singles/12_Kitchen_Singles/Kitchen_Singles_112.png")</f>
        <v/>
      </c>
    </row>
    <row r="112" ht="36.0" customHeight="1">
      <c r="A112" s="16" t="s">
        <v>2307</v>
      </c>
      <c r="B112" s="16" t="str">
        <f>IMAGE("https://lmztiles.s3.eu-west-1.amazonaws.com/Modern_Interiors_v41.3.4/1_Interiors/16x16/Theme_Sorter_Singles/12_Kitchen_Singles/Kitchen_Singles_113.png")</f>
        <v/>
      </c>
    </row>
    <row r="113" ht="36.0" customHeight="1">
      <c r="A113" s="16" t="s">
        <v>2308</v>
      </c>
      <c r="B113" s="16" t="str">
        <f>IMAGE("https://lmztiles.s3.eu-west-1.amazonaws.com/Modern_Interiors_v41.3.4/1_Interiors/16x16/Theme_Sorter_Singles/12_Kitchen_Singles/Kitchen_Singles_114.png")</f>
        <v/>
      </c>
    </row>
    <row r="114" ht="36.0" customHeight="1">
      <c r="A114" s="16" t="s">
        <v>2309</v>
      </c>
      <c r="B114" s="16" t="str">
        <f>IMAGE("https://lmztiles.s3.eu-west-1.amazonaws.com/Modern_Interiors_v41.3.4/1_Interiors/16x16/Theme_Sorter_Singles/12_Kitchen_Singles/Kitchen_Singles_115.png")</f>
        <v/>
      </c>
    </row>
    <row r="115" ht="36.0" customHeight="1">
      <c r="A115" s="16" t="s">
        <v>2310</v>
      </c>
      <c r="B115" s="16" t="str">
        <f>IMAGE("https://lmztiles.s3.eu-west-1.amazonaws.com/Modern_Interiors_v41.3.4/1_Interiors/16x16/Theme_Sorter_Singles/12_Kitchen_Singles/Kitchen_Singles_116.png")</f>
        <v/>
      </c>
    </row>
    <row r="116" ht="36.0" customHeight="1">
      <c r="A116" s="16" t="s">
        <v>2311</v>
      </c>
      <c r="B116" s="16" t="str">
        <f>IMAGE("https://lmztiles.s3.eu-west-1.amazonaws.com/Modern_Interiors_v41.3.4/1_Interiors/16x16/Theme_Sorter_Singles/12_Kitchen_Singles/Kitchen_Singles_117.png")</f>
        <v/>
      </c>
    </row>
    <row r="117" ht="36.0" customHeight="1">
      <c r="A117" s="16" t="s">
        <v>2312</v>
      </c>
      <c r="B117" s="16" t="str">
        <f>IMAGE("https://lmztiles.s3.eu-west-1.amazonaws.com/Modern_Interiors_v41.3.4/1_Interiors/16x16/Theme_Sorter_Singles/12_Kitchen_Singles/Kitchen_Singles_118.png")</f>
        <v/>
      </c>
    </row>
    <row r="118" ht="36.0" customHeight="1">
      <c r="A118" s="16" t="s">
        <v>2313</v>
      </c>
      <c r="B118" s="16" t="str">
        <f>IMAGE("https://lmztiles.s3.eu-west-1.amazonaws.com/Modern_Interiors_v41.3.4/1_Interiors/16x16/Theme_Sorter_Singles/12_Kitchen_Singles/Kitchen_Singles_119.png")</f>
        <v/>
      </c>
    </row>
    <row r="119" ht="36.0" customHeight="1">
      <c r="A119" s="16" t="s">
        <v>2314</v>
      </c>
      <c r="B119" s="16" t="str">
        <f>IMAGE("https://lmztiles.s3.eu-west-1.amazonaws.com/Modern_Interiors_v41.3.4/1_Interiors/16x16/Theme_Sorter_Singles/12_Kitchen_Singles/Kitchen_Singles_120.png")</f>
        <v/>
      </c>
    </row>
    <row r="120" ht="36.0" customHeight="1">
      <c r="A120" s="16" t="s">
        <v>2315</v>
      </c>
      <c r="B120" s="16" t="str">
        <f>IMAGE("https://lmztiles.s3.eu-west-1.amazonaws.com/Modern_Interiors_v41.3.4/1_Interiors/16x16/Theme_Sorter_Singles/12_Kitchen_Singles/Kitchen_Singles_121.png")</f>
        <v/>
      </c>
    </row>
    <row r="121" ht="36.0" customHeight="1">
      <c r="A121" s="16" t="s">
        <v>2316</v>
      </c>
      <c r="B121" s="16" t="str">
        <f>IMAGE("https://lmztiles.s3.eu-west-1.amazonaws.com/Modern_Interiors_v41.3.4/1_Interiors/16x16/Theme_Sorter_Singles/12_Kitchen_Singles/Kitchen_Singles_122.png")</f>
        <v/>
      </c>
    </row>
    <row r="122" ht="36.0" customHeight="1">
      <c r="A122" s="16" t="s">
        <v>2317</v>
      </c>
      <c r="B122" s="16" t="str">
        <f>IMAGE("https://lmztiles.s3.eu-west-1.amazonaws.com/Modern_Interiors_v41.3.4/1_Interiors/16x16/Theme_Sorter_Singles/12_Kitchen_Singles/Kitchen_Singles_123.png")</f>
        <v/>
      </c>
    </row>
    <row r="123" ht="36.0" customHeight="1">
      <c r="A123" s="16" t="s">
        <v>2318</v>
      </c>
      <c r="B123" s="16" t="str">
        <f>IMAGE("https://lmztiles.s3.eu-west-1.amazonaws.com/Modern_Interiors_v41.3.4/1_Interiors/16x16/Theme_Sorter_Singles/12_Kitchen_Singles/Kitchen_Singles_124.png")</f>
        <v/>
      </c>
    </row>
    <row r="124" ht="36.0" customHeight="1">
      <c r="A124" s="16" t="s">
        <v>2319</v>
      </c>
      <c r="B124" s="16" t="str">
        <f>IMAGE("https://lmztiles.s3.eu-west-1.amazonaws.com/Modern_Interiors_v41.3.4/1_Interiors/16x16/Theme_Sorter_Singles/12_Kitchen_Singles/Kitchen_Singles_125.png")</f>
        <v/>
      </c>
    </row>
    <row r="125" ht="36.0" customHeight="1">
      <c r="A125" s="16" t="s">
        <v>2320</v>
      </c>
      <c r="B125" s="16" t="str">
        <f>IMAGE("https://lmztiles.s3.eu-west-1.amazonaws.com/Modern_Interiors_v41.3.4/1_Interiors/16x16/Theme_Sorter_Singles/12_Kitchen_Singles/Kitchen_Singles_126.png")</f>
        <v/>
      </c>
    </row>
    <row r="126" ht="36.0" customHeight="1">
      <c r="A126" s="16" t="s">
        <v>2321</v>
      </c>
      <c r="B126" s="16" t="str">
        <f>IMAGE("https://lmztiles.s3.eu-west-1.amazonaws.com/Modern_Interiors_v41.3.4/1_Interiors/16x16/Theme_Sorter_Singles/12_Kitchen_Singles/Kitchen_Singles_127.png")</f>
        <v/>
      </c>
    </row>
    <row r="127" ht="36.0" customHeight="1">
      <c r="A127" s="16" t="s">
        <v>2322</v>
      </c>
      <c r="B127" s="16" t="str">
        <f>IMAGE("https://lmztiles.s3.eu-west-1.amazonaws.com/Modern_Interiors_v41.3.4/1_Interiors/16x16/Theme_Sorter_Singles/12_Kitchen_Singles/Kitchen_Singles_128.png")</f>
        <v/>
      </c>
    </row>
    <row r="128" ht="36.0" customHeight="1">
      <c r="A128" s="16" t="s">
        <v>2323</v>
      </c>
      <c r="B128" s="16" t="str">
        <f>IMAGE("https://lmztiles.s3.eu-west-1.amazonaws.com/Modern_Interiors_v41.3.4/1_Interiors/16x16/Theme_Sorter_Singles/12_Kitchen_Singles/Kitchen_Singles_129.png")</f>
        <v/>
      </c>
    </row>
    <row r="129" ht="36.0" customHeight="1">
      <c r="A129" s="16" t="s">
        <v>2324</v>
      </c>
      <c r="B129" s="16" t="str">
        <f>IMAGE("https://lmztiles.s3.eu-west-1.amazonaws.com/Modern_Interiors_v41.3.4/1_Interiors/16x16/Theme_Sorter_Singles/12_Kitchen_Singles/Kitchen_Singles_130.png")</f>
        <v/>
      </c>
    </row>
    <row r="130" ht="36.0" customHeight="1">
      <c r="A130" s="16" t="s">
        <v>2325</v>
      </c>
      <c r="B130" s="16" t="str">
        <f>IMAGE("https://lmztiles.s3.eu-west-1.amazonaws.com/Modern_Interiors_v41.3.4/1_Interiors/16x16/Theme_Sorter_Singles/12_Kitchen_Singles/Kitchen_Singles_131.png")</f>
        <v/>
      </c>
    </row>
    <row r="131" ht="36.0" customHeight="1">
      <c r="A131" s="16" t="s">
        <v>2326</v>
      </c>
      <c r="B131" s="16" t="str">
        <f>IMAGE("https://lmztiles.s3.eu-west-1.amazonaws.com/Modern_Interiors_v41.3.4/1_Interiors/16x16/Theme_Sorter_Singles/12_Kitchen_Singles/Kitchen_Singles_132.png")</f>
        <v/>
      </c>
    </row>
    <row r="132" ht="36.0" customHeight="1">
      <c r="A132" s="16" t="s">
        <v>2327</v>
      </c>
      <c r="B132" s="16" t="str">
        <f>IMAGE("https://lmztiles.s3.eu-west-1.amazonaws.com/Modern_Interiors_v41.3.4/1_Interiors/16x16/Theme_Sorter_Singles/12_Kitchen_Singles/Kitchen_Singles_133.png")</f>
        <v/>
      </c>
    </row>
    <row r="133" ht="36.0" customHeight="1">
      <c r="A133" s="16" t="s">
        <v>2328</v>
      </c>
      <c r="B133" s="16" t="str">
        <f>IMAGE("https://lmztiles.s3.eu-west-1.amazonaws.com/Modern_Interiors_v41.3.4/1_Interiors/16x16/Theme_Sorter_Singles/12_Kitchen_Singles/Kitchen_Singles_134.png")</f>
        <v/>
      </c>
    </row>
    <row r="134" ht="36.0" customHeight="1">
      <c r="A134" s="16" t="s">
        <v>2329</v>
      </c>
      <c r="B134" s="16" t="str">
        <f>IMAGE("https://lmztiles.s3.eu-west-1.amazonaws.com/Modern_Interiors_v41.3.4/1_Interiors/16x16/Theme_Sorter_Singles/12_Kitchen_Singles/Kitchen_Singles_135.png")</f>
        <v/>
      </c>
    </row>
    <row r="135" ht="36.0" customHeight="1">
      <c r="A135" s="16" t="s">
        <v>2330</v>
      </c>
      <c r="B135" s="16" t="str">
        <f>IMAGE("https://lmztiles.s3.eu-west-1.amazonaws.com/Modern_Interiors_v41.3.4/1_Interiors/16x16/Theme_Sorter_Singles/12_Kitchen_Singles/Kitchen_Singles_136.png")</f>
        <v/>
      </c>
    </row>
    <row r="136" ht="36.0" customHeight="1">
      <c r="A136" s="16" t="s">
        <v>2331</v>
      </c>
      <c r="B136" s="16" t="str">
        <f>IMAGE("https://lmztiles.s3.eu-west-1.amazonaws.com/Modern_Interiors_v41.3.4/1_Interiors/16x16/Theme_Sorter_Singles/12_Kitchen_Singles/Kitchen_Singles_137.png")</f>
        <v/>
      </c>
    </row>
    <row r="137" ht="36.0" customHeight="1">
      <c r="A137" s="16" t="s">
        <v>2332</v>
      </c>
      <c r="B137" s="16" t="str">
        <f>IMAGE("https://lmztiles.s3.eu-west-1.amazonaws.com/Modern_Interiors_v41.3.4/1_Interiors/16x16/Theme_Sorter_Singles/12_Kitchen_Singles/Kitchen_Singles_138.png")</f>
        <v/>
      </c>
    </row>
    <row r="138" ht="36.0" customHeight="1">
      <c r="A138" s="16" t="s">
        <v>2333</v>
      </c>
      <c r="B138" s="16" t="str">
        <f>IMAGE("https://lmztiles.s3.eu-west-1.amazonaws.com/Modern_Interiors_v41.3.4/1_Interiors/16x16/Theme_Sorter_Singles/12_Kitchen_Singles/Kitchen_Singles_139.png")</f>
        <v/>
      </c>
    </row>
    <row r="139" ht="36.0" customHeight="1">
      <c r="A139" s="16" t="s">
        <v>2334</v>
      </c>
      <c r="B139" s="16" t="str">
        <f>IMAGE("https://lmztiles.s3.eu-west-1.amazonaws.com/Modern_Interiors_v41.3.4/1_Interiors/16x16/Theme_Sorter_Singles/12_Kitchen_Singles/Kitchen_Singles_140.png")</f>
        <v/>
      </c>
    </row>
    <row r="140" ht="36.0" customHeight="1">
      <c r="A140" s="16" t="s">
        <v>2335</v>
      </c>
      <c r="B140" s="16" t="str">
        <f>IMAGE("https://lmztiles.s3.eu-west-1.amazonaws.com/Modern_Interiors_v41.3.4/1_Interiors/16x16/Theme_Sorter_Singles/12_Kitchen_Singles/Kitchen_Singles_141.png")</f>
        <v/>
      </c>
    </row>
    <row r="141" ht="36.0" customHeight="1">
      <c r="A141" s="16" t="s">
        <v>2336</v>
      </c>
      <c r="B141" s="16" t="str">
        <f>IMAGE("https://lmztiles.s3.eu-west-1.amazonaws.com/Modern_Interiors_v41.3.4/1_Interiors/16x16/Theme_Sorter_Singles/12_Kitchen_Singles/Kitchen_Singles_142.png")</f>
        <v/>
      </c>
    </row>
    <row r="142" ht="36.0" customHeight="1">
      <c r="A142" s="16" t="s">
        <v>2337</v>
      </c>
      <c r="B142" s="16" t="str">
        <f>IMAGE("https://lmztiles.s3.eu-west-1.amazonaws.com/Modern_Interiors_v41.3.4/1_Interiors/16x16/Theme_Sorter_Singles/12_Kitchen_Singles/Kitchen_Singles_143.png")</f>
        <v/>
      </c>
    </row>
    <row r="143" ht="36.0" customHeight="1">
      <c r="A143" s="16" t="s">
        <v>2338</v>
      </c>
      <c r="B143" s="16" t="str">
        <f>IMAGE("https://lmztiles.s3.eu-west-1.amazonaws.com/Modern_Interiors_v41.3.4/1_Interiors/16x16/Theme_Sorter_Singles/12_Kitchen_Singles/Kitchen_Singles_144.png")</f>
        <v/>
      </c>
    </row>
    <row r="144" ht="36.0" customHeight="1">
      <c r="A144" s="16" t="s">
        <v>2339</v>
      </c>
      <c r="B144" s="16" t="str">
        <f>IMAGE("https://lmztiles.s3.eu-west-1.amazonaws.com/Modern_Interiors_v41.3.4/1_Interiors/16x16/Theme_Sorter_Singles/12_Kitchen_Singles/Kitchen_Singles_145.png")</f>
        <v/>
      </c>
    </row>
    <row r="145" ht="36.0" customHeight="1">
      <c r="A145" s="16" t="s">
        <v>2340</v>
      </c>
      <c r="B145" s="16" t="str">
        <f>IMAGE("https://lmztiles.s3.eu-west-1.amazonaws.com/Modern_Interiors_v41.3.4/1_Interiors/16x16/Theme_Sorter_Singles/12_Kitchen_Singles/Kitchen_Singles_146.png")</f>
        <v/>
      </c>
    </row>
    <row r="146" ht="36.0" customHeight="1">
      <c r="A146" s="16" t="s">
        <v>2341</v>
      </c>
      <c r="B146" s="16" t="str">
        <f>IMAGE("https://lmztiles.s3.eu-west-1.amazonaws.com/Modern_Interiors_v41.3.4/1_Interiors/16x16/Theme_Sorter_Singles/12_Kitchen_Singles/Kitchen_Singles_147.png")</f>
        <v/>
      </c>
    </row>
    <row r="147" ht="36.0" customHeight="1">
      <c r="A147" s="16" t="s">
        <v>2342</v>
      </c>
      <c r="B147" s="16" t="str">
        <f>IMAGE("https://lmztiles.s3.eu-west-1.amazonaws.com/Modern_Interiors_v41.3.4/1_Interiors/16x16/Theme_Sorter_Singles/12_Kitchen_Singles/Kitchen_Singles_148.png")</f>
        <v/>
      </c>
    </row>
    <row r="148" ht="36.0" customHeight="1">
      <c r="A148" s="16" t="s">
        <v>2343</v>
      </c>
      <c r="B148" s="16" t="str">
        <f>IMAGE("https://lmztiles.s3.eu-west-1.amazonaws.com/Modern_Interiors_v41.3.4/1_Interiors/16x16/Theme_Sorter_Singles/12_Kitchen_Singles/Kitchen_Singles_149.png")</f>
        <v/>
      </c>
    </row>
    <row r="149" ht="36.0" customHeight="1">
      <c r="A149" s="16" t="s">
        <v>2344</v>
      </c>
      <c r="B149" s="16" t="str">
        <f>IMAGE("https://lmztiles.s3.eu-west-1.amazonaws.com/Modern_Interiors_v41.3.4/1_Interiors/16x16/Theme_Sorter_Singles/12_Kitchen_Singles/Kitchen_Singles_150.png")</f>
        <v/>
      </c>
    </row>
    <row r="150" ht="36.0" customHeight="1">
      <c r="A150" s="16" t="s">
        <v>2345</v>
      </c>
      <c r="B150" s="16" t="str">
        <f>IMAGE("https://lmztiles.s3.eu-west-1.amazonaws.com/Modern_Interiors_v41.3.4/1_Interiors/16x16/Theme_Sorter_Singles/12_Kitchen_Singles/Kitchen_Singles_151.png")</f>
        <v/>
      </c>
    </row>
    <row r="151" ht="36.0" customHeight="1">
      <c r="A151" s="16" t="s">
        <v>2346</v>
      </c>
      <c r="B151" s="16" t="str">
        <f>IMAGE("https://lmztiles.s3.eu-west-1.amazonaws.com/Modern_Interiors_v41.3.4/1_Interiors/16x16/Theme_Sorter_Singles/12_Kitchen_Singles/Kitchen_Singles_152.png")</f>
        <v/>
      </c>
    </row>
    <row r="152" ht="36.0" customHeight="1">
      <c r="A152" s="16" t="s">
        <v>2347</v>
      </c>
      <c r="B152" s="16" t="str">
        <f>IMAGE("https://lmztiles.s3.eu-west-1.amazonaws.com/Modern_Interiors_v41.3.4/1_Interiors/16x16/Theme_Sorter_Singles/12_Kitchen_Singles/Kitchen_Singles_153.png")</f>
        <v/>
      </c>
    </row>
    <row r="153" ht="36.0" customHeight="1">
      <c r="A153" s="16" t="s">
        <v>2348</v>
      </c>
      <c r="B153" s="16" t="str">
        <f>IMAGE("https://lmztiles.s3.eu-west-1.amazonaws.com/Modern_Interiors_v41.3.4/1_Interiors/16x16/Theme_Sorter_Singles/12_Kitchen_Singles/Kitchen_Singles_154.png")</f>
        <v/>
      </c>
    </row>
    <row r="154" ht="36.0" customHeight="1">
      <c r="A154" s="16" t="s">
        <v>2349</v>
      </c>
      <c r="B154" s="16" t="str">
        <f>IMAGE("https://lmztiles.s3.eu-west-1.amazonaws.com/Modern_Interiors_v41.3.4/1_Interiors/16x16/Theme_Sorter_Singles/12_Kitchen_Singles/Kitchen_Singles_155.png")</f>
        <v/>
      </c>
    </row>
    <row r="155" ht="36.0" customHeight="1">
      <c r="A155" s="16" t="s">
        <v>2350</v>
      </c>
      <c r="B155" s="16" t="str">
        <f>IMAGE("https://lmztiles.s3.eu-west-1.amazonaws.com/Modern_Interiors_v41.3.4/1_Interiors/16x16/Theme_Sorter_Singles/12_Kitchen_Singles/Kitchen_Singles_156.png")</f>
        <v/>
      </c>
    </row>
    <row r="156" ht="36.0" customHeight="1">
      <c r="A156" s="16" t="s">
        <v>2351</v>
      </c>
      <c r="B156" s="16" t="str">
        <f>IMAGE("https://lmztiles.s3.eu-west-1.amazonaws.com/Modern_Interiors_v41.3.4/1_Interiors/16x16/Theme_Sorter_Singles/12_Kitchen_Singles/Kitchen_Singles_157.png")</f>
        <v/>
      </c>
    </row>
    <row r="157" ht="36.0" customHeight="1">
      <c r="A157" s="16" t="s">
        <v>2352</v>
      </c>
      <c r="B157" s="16" t="str">
        <f>IMAGE("https://lmztiles.s3.eu-west-1.amazonaws.com/Modern_Interiors_v41.3.4/1_Interiors/16x16/Theme_Sorter_Singles/12_Kitchen_Singles/Kitchen_Singles_158.png")</f>
        <v/>
      </c>
    </row>
    <row r="158" ht="36.0" customHeight="1">
      <c r="A158" s="16" t="s">
        <v>2353</v>
      </c>
      <c r="B158" s="16" t="str">
        <f>IMAGE("https://lmztiles.s3.eu-west-1.amazonaws.com/Modern_Interiors_v41.3.4/1_Interiors/16x16/Theme_Sorter_Singles/12_Kitchen_Singles/Kitchen_Singles_159.png")</f>
        <v/>
      </c>
    </row>
    <row r="159" ht="36.0" customHeight="1">
      <c r="A159" s="16" t="s">
        <v>2354</v>
      </c>
      <c r="B159" s="16" t="str">
        <f>IMAGE("https://lmztiles.s3.eu-west-1.amazonaws.com/Modern_Interiors_v41.3.4/1_Interiors/16x16/Theme_Sorter_Singles/12_Kitchen_Singles/Kitchen_Singles_160.png")</f>
        <v/>
      </c>
    </row>
    <row r="160" ht="36.0" customHeight="1">
      <c r="A160" s="16" t="s">
        <v>2355</v>
      </c>
      <c r="B160" s="16" t="str">
        <f>IMAGE("https://lmztiles.s3.eu-west-1.amazonaws.com/Modern_Interiors_v41.3.4/1_Interiors/16x16/Theme_Sorter_Singles/12_Kitchen_Singles/Kitchen_Singles_161.png")</f>
        <v/>
      </c>
    </row>
    <row r="161" ht="36.0" customHeight="1">
      <c r="A161" s="16" t="s">
        <v>2356</v>
      </c>
      <c r="B161" s="16" t="str">
        <f>IMAGE("https://lmztiles.s3.eu-west-1.amazonaws.com/Modern_Interiors_v41.3.4/1_Interiors/16x16/Theme_Sorter_Singles/12_Kitchen_Singles/Kitchen_Singles_162.png")</f>
        <v/>
      </c>
    </row>
    <row r="162" ht="36.0" customHeight="1">
      <c r="A162" s="16" t="s">
        <v>2357</v>
      </c>
      <c r="B162" s="16" t="str">
        <f>IMAGE("https://lmztiles.s3.eu-west-1.amazonaws.com/Modern_Interiors_v41.3.4/1_Interiors/16x16/Theme_Sorter_Singles/12_Kitchen_Singles/Kitchen_Singles_163.png")</f>
        <v/>
      </c>
    </row>
    <row r="163" ht="36.0" customHeight="1">
      <c r="A163" s="16" t="s">
        <v>2358</v>
      </c>
      <c r="B163" s="16" t="str">
        <f>IMAGE("https://lmztiles.s3.eu-west-1.amazonaws.com/Modern_Interiors_v41.3.4/1_Interiors/16x16/Theme_Sorter_Singles/12_Kitchen_Singles/Kitchen_Singles_164.png")</f>
        <v/>
      </c>
    </row>
    <row r="164" ht="36.0" customHeight="1">
      <c r="A164" s="16" t="s">
        <v>2359</v>
      </c>
      <c r="B164" s="16" t="str">
        <f>IMAGE("https://lmztiles.s3.eu-west-1.amazonaws.com/Modern_Interiors_v41.3.4/1_Interiors/16x16/Theme_Sorter_Singles/12_Kitchen_Singles/Kitchen_Singles_165.png")</f>
        <v/>
      </c>
    </row>
    <row r="165" ht="36.0" customHeight="1">
      <c r="A165" s="16" t="s">
        <v>2360</v>
      </c>
      <c r="B165" s="16" t="str">
        <f>IMAGE("https://lmztiles.s3.eu-west-1.amazonaws.com/Modern_Interiors_v41.3.4/1_Interiors/16x16/Theme_Sorter_Singles/12_Kitchen_Singles/Kitchen_Singles_166.png")</f>
        <v/>
      </c>
    </row>
    <row r="166" ht="36.0" customHeight="1">
      <c r="A166" s="16" t="s">
        <v>2361</v>
      </c>
      <c r="B166" s="16" t="str">
        <f>IMAGE("https://lmztiles.s3.eu-west-1.amazonaws.com/Modern_Interiors_v41.3.4/1_Interiors/16x16/Theme_Sorter_Singles/12_Kitchen_Singles/Kitchen_Singles_167.png")</f>
        <v/>
      </c>
    </row>
    <row r="167" ht="36.0" customHeight="1">
      <c r="A167" s="16" t="s">
        <v>2362</v>
      </c>
      <c r="B167" s="16" t="str">
        <f>IMAGE("https://lmztiles.s3.eu-west-1.amazonaws.com/Modern_Interiors_v41.3.4/1_Interiors/16x16/Theme_Sorter_Singles/12_Kitchen_Singles/Kitchen_Singles_168.png")</f>
        <v/>
      </c>
    </row>
    <row r="168" ht="36.0" customHeight="1">
      <c r="A168" s="16" t="s">
        <v>2363</v>
      </c>
      <c r="B168" s="16" t="str">
        <f>IMAGE("https://lmztiles.s3.eu-west-1.amazonaws.com/Modern_Interiors_v41.3.4/1_Interiors/16x16/Theme_Sorter_Singles/12_Kitchen_Singles/Kitchen_Singles_169.png")</f>
        <v/>
      </c>
    </row>
    <row r="169" ht="36.0" customHeight="1">
      <c r="A169" s="16" t="s">
        <v>2364</v>
      </c>
      <c r="B169" s="16" t="str">
        <f>IMAGE("https://lmztiles.s3.eu-west-1.amazonaws.com/Modern_Interiors_v41.3.4/1_Interiors/16x16/Theme_Sorter_Singles/12_Kitchen_Singles/Kitchen_Singles_170.png")</f>
        <v/>
      </c>
    </row>
    <row r="170" ht="36.0" customHeight="1">
      <c r="A170" s="16" t="s">
        <v>2365</v>
      </c>
      <c r="B170" s="16" t="str">
        <f>IMAGE("https://lmztiles.s3.eu-west-1.amazonaws.com/Modern_Interiors_v41.3.4/1_Interiors/16x16/Theme_Sorter_Singles/12_Kitchen_Singles/Kitchen_Singles_171.png")</f>
        <v/>
      </c>
    </row>
    <row r="171" ht="36.0" customHeight="1">
      <c r="A171" s="16" t="s">
        <v>2366</v>
      </c>
      <c r="B171" s="16" t="str">
        <f>IMAGE("https://lmztiles.s3.eu-west-1.amazonaws.com/Modern_Interiors_v41.3.4/1_Interiors/16x16/Theme_Sorter_Singles/12_Kitchen_Singles/Kitchen_Singles_172.png")</f>
        <v/>
      </c>
    </row>
    <row r="172" ht="36.0" customHeight="1">
      <c r="A172" s="16" t="s">
        <v>2367</v>
      </c>
      <c r="B172" s="16" t="str">
        <f>IMAGE("https://lmztiles.s3.eu-west-1.amazonaws.com/Modern_Interiors_v41.3.4/1_Interiors/16x16/Theme_Sorter_Singles/12_Kitchen_Singles/Kitchen_Singles_173.png")</f>
        <v/>
      </c>
    </row>
    <row r="173" ht="36.0" customHeight="1">
      <c r="A173" s="16" t="s">
        <v>2368</v>
      </c>
      <c r="B173" s="16" t="str">
        <f>IMAGE("https://lmztiles.s3.eu-west-1.amazonaws.com/Modern_Interiors_v41.3.4/1_Interiors/16x16/Theme_Sorter_Singles/12_Kitchen_Singles/Kitchen_Singles_174.png")</f>
        <v/>
      </c>
    </row>
    <row r="174" ht="36.0" customHeight="1">
      <c r="A174" s="16" t="s">
        <v>2369</v>
      </c>
      <c r="B174" s="16" t="str">
        <f>IMAGE("https://lmztiles.s3.eu-west-1.amazonaws.com/Modern_Interiors_v41.3.4/1_Interiors/16x16/Theme_Sorter_Singles/12_Kitchen_Singles/Kitchen_Singles_175.png")</f>
        <v/>
      </c>
    </row>
    <row r="175" ht="36.0" customHeight="1">
      <c r="A175" s="16" t="s">
        <v>2370</v>
      </c>
      <c r="B175" s="16" t="str">
        <f>IMAGE("https://lmztiles.s3.eu-west-1.amazonaws.com/Modern_Interiors_v41.3.4/1_Interiors/16x16/Theme_Sorter_Singles/12_Kitchen_Singles/Kitchen_Singles_176.png")</f>
        <v/>
      </c>
    </row>
    <row r="176" ht="36.0" customHeight="1">
      <c r="A176" s="16" t="s">
        <v>2371</v>
      </c>
      <c r="B176" s="16" t="str">
        <f>IMAGE("https://lmztiles.s3.eu-west-1.amazonaws.com/Modern_Interiors_v41.3.4/1_Interiors/16x16/Theme_Sorter_Singles/12_Kitchen_Singles/Kitchen_Singles_177.png")</f>
        <v/>
      </c>
    </row>
    <row r="177" ht="36.0" customHeight="1">
      <c r="A177" s="16" t="s">
        <v>2372</v>
      </c>
      <c r="B177" s="16" t="str">
        <f>IMAGE("https://lmztiles.s3.eu-west-1.amazonaws.com/Modern_Interiors_v41.3.4/1_Interiors/16x16/Theme_Sorter_Singles/12_Kitchen_Singles/Kitchen_Singles_178.png")</f>
        <v/>
      </c>
    </row>
    <row r="178" ht="36.0" customHeight="1">
      <c r="A178" s="16" t="s">
        <v>2373</v>
      </c>
      <c r="B178" s="16" t="str">
        <f>IMAGE("https://lmztiles.s3.eu-west-1.amazonaws.com/Modern_Interiors_v41.3.4/1_Interiors/16x16/Theme_Sorter_Singles/12_Kitchen_Singles/Kitchen_Singles_179.png")</f>
        <v/>
      </c>
    </row>
    <row r="179" ht="36.0" customHeight="1">
      <c r="A179" s="16" t="s">
        <v>2374</v>
      </c>
      <c r="B179" s="16" t="str">
        <f>IMAGE("https://lmztiles.s3.eu-west-1.amazonaws.com/Modern_Interiors_v41.3.4/1_Interiors/16x16/Theme_Sorter_Singles/12_Kitchen_Singles/Kitchen_Singles_180.png")</f>
        <v/>
      </c>
    </row>
    <row r="180" ht="36.0" customHeight="1">
      <c r="A180" s="16" t="s">
        <v>2375</v>
      </c>
      <c r="B180" s="16" t="str">
        <f>IMAGE("https://lmztiles.s3.eu-west-1.amazonaws.com/Modern_Interiors_v41.3.4/1_Interiors/16x16/Theme_Sorter_Singles/12_Kitchen_Singles/Kitchen_Singles_181.png")</f>
        <v/>
      </c>
    </row>
    <row r="181" ht="36.0" customHeight="1">
      <c r="A181" s="16" t="s">
        <v>2376</v>
      </c>
      <c r="B181" s="16" t="str">
        <f>IMAGE("https://lmztiles.s3.eu-west-1.amazonaws.com/Modern_Interiors_v41.3.4/1_Interiors/16x16/Theme_Sorter_Singles/12_Kitchen_Singles/Kitchen_Singles_182.png")</f>
        <v/>
      </c>
    </row>
    <row r="182" ht="36.0" customHeight="1">
      <c r="A182" s="16" t="s">
        <v>2377</v>
      </c>
      <c r="B182" s="16" t="str">
        <f>IMAGE("https://lmztiles.s3.eu-west-1.amazonaws.com/Modern_Interiors_v41.3.4/1_Interiors/16x16/Theme_Sorter_Singles/12_Kitchen_Singles/Kitchen_Singles_183.png")</f>
        <v/>
      </c>
    </row>
    <row r="183" ht="36.0" customHeight="1">
      <c r="A183" s="16" t="s">
        <v>2378</v>
      </c>
      <c r="B183" s="16" t="str">
        <f>IMAGE("https://lmztiles.s3.eu-west-1.amazonaws.com/Modern_Interiors_v41.3.4/1_Interiors/16x16/Theme_Sorter_Singles/12_Kitchen_Singles/Kitchen_Singles_184.png")</f>
        <v/>
      </c>
    </row>
    <row r="184" ht="36.0" customHeight="1">
      <c r="A184" s="16" t="s">
        <v>2379</v>
      </c>
      <c r="B184" s="16" t="str">
        <f>IMAGE("https://lmztiles.s3.eu-west-1.amazonaws.com/Modern_Interiors_v41.3.4/1_Interiors/16x16/Theme_Sorter_Singles/12_Kitchen_Singles/Kitchen_Singles_185.png")</f>
        <v/>
      </c>
    </row>
    <row r="185" ht="36.0" customHeight="1">
      <c r="A185" s="16" t="s">
        <v>2380</v>
      </c>
      <c r="B185" s="16" t="str">
        <f>IMAGE("https://lmztiles.s3.eu-west-1.amazonaws.com/Modern_Interiors_v41.3.4/1_Interiors/16x16/Theme_Sorter_Singles/12_Kitchen_Singles/Kitchen_Singles_186.png")</f>
        <v/>
      </c>
    </row>
    <row r="186" ht="36.0" customHeight="1">
      <c r="A186" s="16" t="s">
        <v>2381</v>
      </c>
      <c r="B186" s="16" t="str">
        <f>IMAGE("https://lmztiles.s3.eu-west-1.amazonaws.com/Modern_Interiors_v41.3.4/1_Interiors/16x16/Theme_Sorter_Singles/12_Kitchen_Singles/Kitchen_Singles_187.png")</f>
        <v/>
      </c>
    </row>
    <row r="187" ht="36.0" customHeight="1">
      <c r="A187" s="16" t="s">
        <v>2382</v>
      </c>
      <c r="B187" s="16" t="str">
        <f>IMAGE("https://lmztiles.s3.eu-west-1.amazonaws.com/Modern_Interiors_v41.3.4/1_Interiors/16x16/Theme_Sorter_Singles/12_Kitchen_Singles/Kitchen_Singles_188.png")</f>
        <v/>
      </c>
    </row>
    <row r="188" ht="36.0" customHeight="1">
      <c r="A188" s="16" t="s">
        <v>2383</v>
      </c>
      <c r="B188" s="16" t="str">
        <f>IMAGE("https://lmztiles.s3.eu-west-1.amazonaws.com/Modern_Interiors_v41.3.4/1_Interiors/16x16/Theme_Sorter_Singles/12_Kitchen_Singles/Kitchen_Singles_189.png")</f>
        <v/>
      </c>
    </row>
    <row r="189" ht="36.0" customHeight="1">
      <c r="A189" s="16" t="s">
        <v>2384</v>
      </c>
      <c r="B189" s="16" t="str">
        <f>IMAGE("https://lmztiles.s3.eu-west-1.amazonaws.com/Modern_Interiors_v41.3.4/1_Interiors/16x16/Theme_Sorter_Singles/12_Kitchen_Singles/Kitchen_Singles_190.png")</f>
        <v/>
      </c>
    </row>
    <row r="190" ht="36.0" customHeight="1">
      <c r="A190" s="16" t="s">
        <v>2385</v>
      </c>
      <c r="B190" s="16" t="str">
        <f>IMAGE("https://lmztiles.s3.eu-west-1.amazonaws.com/Modern_Interiors_v41.3.4/1_Interiors/16x16/Theme_Sorter_Singles/12_Kitchen_Singles/Kitchen_Singles_191.png")</f>
        <v/>
      </c>
    </row>
    <row r="191" ht="36.0" customHeight="1">
      <c r="A191" s="16" t="s">
        <v>2386</v>
      </c>
      <c r="B191" s="16" t="str">
        <f>IMAGE("https://lmztiles.s3.eu-west-1.amazonaws.com/Modern_Interiors_v41.3.4/1_Interiors/16x16/Theme_Sorter_Singles/12_Kitchen_Singles/Kitchen_Singles_192.png")</f>
        <v/>
      </c>
    </row>
    <row r="192" ht="36.0" customHeight="1">
      <c r="A192" s="16" t="s">
        <v>2387</v>
      </c>
      <c r="B192" s="16" t="str">
        <f>IMAGE("https://lmztiles.s3.eu-west-1.amazonaws.com/Modern_Interiors_v41.3.4/1_Interiors/16x16/Theme_Sorter_Singles/12_Kitchen_Singles/Kitchen_Singles_193.png")</f>
        <v/>
      </c>
    </row>
    <row r="193" ht="36.0" customHeight="1">
      <c r="A193" s="16" t="s">
        <v>2388</v>
      </c>
      <c r="B193" s="16" t="str">
        <f>IMAGE("https://lmztiles.s3.eu-west-1.amazonaws.com/Modern_Interiors_v41.3.4/1_Interiors/16x16/Theme_Sorter_Singles/12_Kitchen_Singles/Kitchen_Singles_194.png")</f>
        <v/>
      </c>
    </row>
    <row r="194" ht="36.0" customHeight="1">
      <c r="A194" s="16" t="s">
        <v>2389</v>
      </c>
      <c r="B194" s="16" t="str">
        <f>IMAGE("https://lmztiles.s3.eu-west-1.amazonaws.com/Modern_Interiors_v41.3.4/1_Interiors/16x16/Theme_Sorter_Singles/12_Kitchen_Singles/Kitchen_Singles_195.png")</f>
        <v/>
      </c>
    </row>
    <row r="195" ht="36.0" customHeight="1">
      <c r="A195" s="16" t="s">
        <v>2390</v>
      </c>
      <c r="B195" s="16" t="str">
        <f>IMAGE("https://lmztiles.s3.eu-west-1.amazonaws.com/Modern_Interiors_v41.3.4/1_Interiors/16x16/Theme_Sorter_Singles/12_Kitchen_Singles/Kitchen_Singles_196.png")</f>
        <v/>
      </c>
    </row>
    <row r="196" ht="36.0" customHeight="1">
      <c r="A196" s="16" t="s">
        <v>2391</v>
      </c>
      <c r="B196" s="16" t="str">
        <f>IMAGE("https://lmztiles.s3.eu-west-1.amazonaws.com/Modern_Interiors_v41.3.4/1_Interiors/16x16/Theme_Sorter_Singles/12_Kitchen_Singles/Kitchen_Singles_197.png")</f>
        <v/>
      </c>
    </row>
    <row r="197" ht="36.0" customHeight="1">
      <c r="A197" s="16" t="s">
        <v>2392</v>
      </c>
      <c r="B197" s="16" t="str">
        <f>IMAGE("https://lmztiles.s3.eu-west-1.amazonaws.com/Modern_Interiors_v41.3.4/1_Interiors/16x16/Theme_Sorter_Singles/12_Kitchen_Singles/Kitchen_Singles_198.png")</f>
        <v/>
      </c>
    </row>
    <row r="198" ht="36.0" customHeight="1">
      <c r="A198" s="16" t="s">
        <v>2393</v>
      </c>
      <c r="B198" s="16" t="str">
        <f>IMAGE("https://lmztiles.s3.eu-west-1.amazonaws.com/Modern_Interiors_v41.3.4/1_Interiors/16x16/Theme_Sorter_Singles/12_Kitchen_Singles/Kitchen_Singles_199.png")</f>
        <v/>
      </c>
    </row>
    <row r="199" ht="36.0" customHeight="1">
      <c r="A199" s="16" t="s">
        <v>2394</v>
      </c>
      <c r="B199" s="16" t="str">
        <f>IMAGE("https://lmztiles.s3.eu-west-1.amazonaws.com/Modern_Interiors_v41.3.4/1_Interiors/16x16/Theme_Sorter_Singles/12_Kitchen_Singles/Kitchen_Singles_200.png")</f>
        <v/>
      </c>
    </row>
    <row r="200" ht="36.0" customHeight="1">
      <c r="A200" s="16" t="s">
        <v>2395</v>
      </c>
      <c r="B200" s="16" t="str">
        <f>IMAGE("https://lmztiles.s3.eu-west-1.amazonaws.com/Modern_Interiors_v41.3.4/1_Interiors/16x16/Theme_Sorter_Singles/12_Kitchen_Singles/Kitchen_Singles_201.png")</f>
        <v/>
      </c>
    </row>
    <row r="201" ht="36.0" customHeight="1">
      <c r="A201" s="16" t="s">
        <v>2396</v>
      </c>
      <c r="B201" s="16" t="str">
        <f>IMAGE("https://lmztiles.s3.eu-west-1.amazonaws.com/Modern_Interiors_v41.3.4/1_Interiors/16x16/Theme_Sorter_Singles/12_Kitchen_Singles/Kitchen_Singles_202.png")</f>
        <v/>
      </c>
    </row>
    <row r="202" ht="36.0" customHeight="1">
      <c r="A202" s="16" t="s">
        <v>2397</v>
      </c>
      <c r="B202" s="16" t="str">
        <f>IMAGE("https://lmztiles.s3.eu-west-1.amazonaws.com/Modern_Interiors_v41.3.4/1_Interiors/16x16/Theme_Sorter_Singles/12_Kitchen_Singles/Kitchen_Singles_203.png")</f>
        <v/>
      </c>
    </row>
    <row r="203" ht="36.0" customHeight="1">
      <c r="A203" s="16" t="s">
        <v>2398</v>
      </c>
      <c r="B203" s="16" t="str">
        <f>IMAGE("https://lmztiles.s3.eu-west-1.amazonaws.com/Modern_Interiors_v41.3.4/1_Interiors/16x16/Theme_Sorter_Singles/12_Kitchen_Singles/Kitchen_Singles_204.png")</f>
        <v/>
      </c>
    </row>
    <row r="204" ht="36.0" customHeight="1">
      <c r="A204" s="16" t="s">
        <v>2399</v>
      </c>
      <c r="B204" s="16" t="str">
        <f>IMAGE("https://lmztiles.s3.eu-west-1.amazonaws.com/Modern_Interiors_v41.3.4/1_Interiors/16x16/Theme_Sorter_Singles/12_Kitchen_Singles/Kitchen_Singles_205.png")</f>
        <v/>
      </c>
    </row>
    <row r="205" ht="36.0" customHeight="1">
      <c r="A205" s="16" t="s">
        <v>2400</v>
      </c>
      <c r="B205" s="16" t="str">
        <f>IMAGE("https://lmztiles.s3.eu-west-1.amazonaws.com/Modern_Interiors_v41.3.4/1_Interiors/16x16/Theme_Sorter_Singles/12_Kitchen_Singles/Kitchen_Singles_206.png")</f>
        <v/>
      </c>
    </row>
    <row r="206" ht="36.0" customHeight="1">
      <c r="A206" s="16" t="s">
        <v>2401</v>
      </c>
      <c r="B206" s="16" t="str">
        <f>IMAGE("https://lmztiles.s3.eu-west-1.amazonaws.com/Modern_Interiors_v41.3.4/1_Interiors/16x16/Theme_Sorter_Singles/12_Kitchen_Singles/Kitchen_Singles_207.png")</f>
        <v/>
      </c>
    </row>
    <row r="207" ht="36.0" customHeight="1">
      <c r="A207" s="16" t="s">
        <v>2402</v>
      </c>
      <c r="B207" s="16" t="str">
        <f>IMAGE("https://lmztiles.s3.eu-west-1.amazonaws.com/Modern_Interiors_v41.3.4/1_Interiors/16x16/Theme_Sorter_Singles/12_Kitchen_Singles/Kitchen_Singles_208.png")</f>
        <v/>
      </c>
    </row>
    <row r="208" ht="36.0" customHeight="1">
      <c r="A208" s="16" t="s">
        <v>2403</v>
      </c>
      <c r="B208" s="16" t="str">
        <f>IMAGE("https://lmztiles.s3.eu-west-1.amazonaws.com/Modern_Interiors_v41.3.4/1_Interiors/16x16/Theme_Sorter_Singles/12_Kitchen_Singles/Kitchen_Singles_209.png")</f>
        <v/>
      </c>
    </row>
    <row r="209" ht="36.0" customHeight="1">
      <c r="A209" s="16" t="s">
        <v>2404</v>
      </c>
      <c r="B209" s="16" t="str">
        <f>IMAGE("https://lmztiles.s3.eu-west-1.amazonaws.com/Modern_Interiors_v41.3.4/1_Interiors/16x16/Theme_Sorter_Singles/12_Kitchen_Singles/Kitchen_Singles_210.png")</f>
        <v/>
      </c>
    </row>
    <row r="210" ht="36.0" customHeight="1">
      <c r="A210" s="16" t="s">
        <v>2405</v>
      </c>
      <c r="B210" s="16" t="str">
        <f>IMAGE("https://lmztiles.s3.eu-west-1.amazonaws.com/Modern_Interiors_v41.3.4/1_Interiors/16x16/Theme_Sorter_Singles/12_Kitchen_Singles/Kitchen_Singles_211.png")</f>
        <v/>
      </c>
    </row>
    <row r="211" ht="36.0" customHeight="1">
      <c r="A211" s="16" t="s">
        <v>2406</v>
      </c>
      <c r="B211" s="16" t="str">
        <f>IMAGE("https://lmztiles.s3.eu-west-1.amazonaws.com/Modern_Interiors_v41.3.4/1_Interiors/16x16/Theme_Sorter_Singles/12_Kitchen_Singles/Kitchen_Singles_212.png")</f>
        <v/>
      </c>
    </row>
    <row r="212" ht="36.0" customHeight="1">
      <c r="A212" s="16" t="s">
        <v>2407</v>
      </c>
      <c r="B212" s="16" t="str">
        <f>IMAGE("https://lmztiles.s3.eu-west-1.amazonaws.com/Modern_Interiors_v41.3.4/1_Interiors/16x16/Theme_Sorter_Singles/12_Kitchen_Singles/Kitchen_Singles_213.png")</f>
        <v/>
      </c>
    </row>
    <row r="213" ht="36.0" customHeight="1">
      <c r="A213" s="16" t="s">
        <v>2408</v>
      </c>
      <c r="B213" s="16" t="str">
        <f>IMAGE("https://lmztiles.s3.eu-west-1.amazonaws.com/Modern_Interiors_v41.3.4/1_Interiors/16x16/Theme_Sorter_Singles/12_Kitchen_Singles/Kitchen_Singles_214.png")</f>
        <v/>
      </c>
    </row>
    <row r="214" ht="36.0" customHeight="1">
      <c r="A214" s="16" t="s">
        <v>2409</v>
      </c>
      <c r="B214" s="16" t="str">
        <f>IMAGE("https://lmztiles.s3.eu-west-1.amazonaws.com/Modern_Interiors_v41.3.4/1_Interiors/16x16/Theme_Sorter_Singles/12_Kitchen_Singles/Kitchen_Singles_215.png")</f>
        <v/>
      </c>
    </row>
    <row r="215" ht="36.0" customHeight="1">
      <c r="A215" s="16" t="s">
        <v>2410</v>
      </c>
      <c r="B215" s="16" t="str">
        <f>IMAGE("https://lmztiles.s3.eu-west-1.amazonaws.com/Modern_Interiors_v41.3.4/1_Interiors/16x16/Theme_Sorter_Singles/12_Kitchen_Singles/Kitchen_Singles_216.png")</f>
        <v/>
      </c>
    </row>
    <row r="216" ht="36.0" customHeight="1">
      <c r="A216" s="16" t="s">
        <v>2411</v>
      </c>
      <c r="B216" s="16" t="str">
        <f>IMAGE("https://lmztiles.s3.eu-west-1.amazonaws.com/Modern_Interiors_v41.3.4/1_Interiors/16x16/Theme_Sorter_Singles/12_Kitchen_Singles/Kitchen_Singles_217.png")</f>
        <v/>
      </c>
    </row>
    <row r="217" ht="36.0" customHeight="1">
      <c r="A217" s="16" t="s">
        <v>2412</v>
      </c>
      <c r="B217" s="16" t="str">
        <f>IMAGE("https://lmztiles.s3.eu-west-1.amazonaws.com/Modern_Interiors_v41.3.4/1_Interiors/16x16/Theme_Sorter_Singles/12_Kitchen_Singles/Kitchen_Singles_218.png")</f>
        <v/>
      </c>
    </row>
    <row r="218" ht="36.0" customHeight="1">
      <c r="A218" s="16" t="s">
        <v>2413</v>
      </c>
      <c r="B218" s="16" t="str">
        <f>IMAGE("https://lmztiles.s3.eu-west-1.amazonaws.com/Modern_Interiors_v41.3.4/1_Interiors/16x16/Theme_Sorter_Singles/12_Kitchen_Singles/Kitchen_Singles_219.png")</f>
        <v/>
      </c>
    </row>
    <row r="219" ht="36.0" customHeight="1">
      <c r="A219" s="16" t="s">
        <v>2414</v>
      </c>
      <c r="B219" s="16" t="str">
        <f>IMAGE("https://lmztiles.s3.eu-west-1.amazonaws.com/Modern_Interiors_v41.3.4/1_Interiors/16x16/Theme_Sorter_Singles/12_Kitchen_Singles/Kitchen_Singles_220.png")</f>
        <v/>
      </c>
    </row>
    <row r="220" ht="36.0" customHeight="1">
      <c r="A220" s="16" t="s">
        <v>2415</v>
      </c>
      <c r="B220" s="16" t="str">
        <f>IMAGE("https://lmztiles.s3.eu-west-1.amazonaws.com/Modern_Interiors_v41.3.4/1_Interiors/16x16/Theme_Sorter_Singles/12_Kitchen_Singles/Kitchen_Singles_221.png")</f>
        <v/>
      </c>
    </row>
    <row r="221" ht="36.0" customHeight="1">
      <c r="A221" s="16" t="s">
        <v>2416</v>
      </c>
      <c r="B221" s="16" t="str">
        <f>IMAGE("https://lmztiles.s3.eu-west-1.amazonaws.com/Modern_Interiors_v41.3.4/1_Interiors/16x16/Theme_Sorter_Singles/12_Kitchen_Singles/Kitchen_Singles_222.png")</f>
        <v/>
      </c>
    </row>
    <row r="222" ht="36.0" customHeight="1">
      <c r="A222" s="16" t="s">
        <v>2417</v>
      </c>
      <c r="B222" s="16" t="str">
        <f>IMAGE("https://lmztiles.s3.eu-west-1.amazonaws.com/Modern_Interiors_v41.3.4/1_Interiors/16x16/Theme_Sorter_Singles/12_Kitchen_Singles/Kitchen_Singles_223.png")</f>
        <v/>
      </c>
    </row>
    <row r="223" ht="36.0" customHeight="1">
      <c r="A223" s="16" t="s">
        <v>2418</v>
      </c>
      <c r="B223" s="16" t="str">
        <f>IMAGE("https://lmztiles.s3.eu-west-1.amazonaws.com/Modern_Interiors_v41.3.4/1_Interiors/16x16/Theme_Sorter_Singles/12_Kitchen_Singles/Kitchen_Singles_224.png")</f>
        <v/>
      </c>
    </row>
    <row r="224" ht="36.0" customHeight="1">
      <c r="A224" s="16" t="s">
        <v>2419</v>
      </c>
      <c r="B224" s="16" t="str">
        <f>IMAGE("https://lmztiles.s3.eu-west-1.amazonaws.com/Modern_Interiors_v41.3.4/1_Interiors/16x16/Theme_Sorter_Singles/12_Kitchen_Singles/Kitchen_Singles_225.png")</f>
        <v/>
      </c>
    </row>
    <row r="225" ht="36.0" customHeight="1">
      <c r="A225" s="16" t="s">
        <v>2420</v>
      </c>
      <c r="B225" s="16" t="str">
        <f>IMAGE("https://lmztiles.s3.eu-west-1.amazonaws.com/Modern_Interiors_v41.3.4/1_Interiors/16x16/Theme_Sorter_Singles/12_Kitchen_Singles/Kitchen_Singles_226.png")</f>
        <v/>
      </c>
    </row>
    <row r="226" ht="36.0" customHeight="1">
      <c r="A226" s="16" t="s">
        <v>2421</v>
      </c>
      <c r="B226" s="16" t="str">
        <f>IMAGE("https://lmztiles.s3.eu-west-1.amazonaws.com/Modern_Interiors_v41.3.4/1_Interiors/16x16/Theme_Sorter_Singles/12_Kitchen_Singles/Kitchen_Singles_227.png")</f>
        <v/>
      </c>
    </row>
    <row r="227" ht="36.0" customHeight="1">
      <c r="A227" s="16" t="s">
        <v>2422</v>
      </c>
      <c r="B227" s="16" t="str">
        <f>IMAGE("https://lmztiles.s3.eu-west-1.amazonaws.com/Modern_Interiors_v41.3.4/1_Interiors/16x16/Theme_Sorter_Singles/12_Kitchen_Singles/Kitchen_Singles_228.png")</f>
        <v/>
      </c>
    </row>
    <row r="228" ht="36.0" customHeight="1">
      <c r="A228" s="16" t="s">
        <v>2423</v>
      </c>
      <c r="B228" s="16" t="str">
        <f>IMAGE("https://lmztiles.s3.eu-west-1.amazonaws.com/Modern_Interiors_v41.3.4/1_Interiors/16x16/Theme_Sorter_Singles/12_Kitchen_Singles/Kitchen_Singles_229.png")</f>
        <v/>
      </c>
    </row>
    <row r="229" ht="36.0" customHeight="1">
      <c r="A229" s="16" t="s">
        <v>2424</v>
      </c>
      <c r="B229" s="16" t="str">
        <f>IMAGE("https://lmztiles.s3.eu-west-1.amazonaws.com/Modern_Interiors_v41.3.4/1_Interiors/16x16/Theme_Sorter_Singles/12_Kitchen_Singles/Kitchen_Singles_230.png")</f>
        <v/>
      </c>
    </row>
    <row r="230" ht="36.0" customHeight="1">
      <c r="A230" s="16" t="s">
        <v>2425</v>
      </c>
      <c r="B230" s="16" t="str">
        <f>IMAGE("https://lmztiles.s3.eu-west-1.amazonaws.com/Modern_Interiors_v41.3.4/1_Interiors/16x16/Theme_Sorter_Singles/12_Kitchen_Singles/Kitchen_Singles_231.png")</f>
        <v/>
      </c>
    </row>
    <row r="231" ht="36.0" customHeight="1">
      <c r="A231" s="16" t="s">
        <v>2426</v>
      </c>
      <c r="B231" s="16" t="str">
        <f>IMAGE("https://lmztiles.s3.eu-west-1.amazonaws.com/Modern_Interiors_v41.3.4/1_Interiors/16x16/Theme_Sorter_Singles/12_Kitchen_Singles/Kitchen_Singles_232.png")</f>
        <v/>
      </c>
    </row>
    <row r="232" ht="36.0" customHeight="1">
      <c r="A232" s="16" t="s">
        <v>2427</v>
      </c>
      <c r="B232" s="16" t="str">
        <f>IMAGE("https://lmztiles.s3.eu-west-1.amazonaws.com/Modern_Interiors_v41.3.4/1_Interiors/16x16/Theme_Sorter_Singles/12_Kitchen_Singles/Kitchen_Singles_233.png")</f>
        <v/>
      </c>
    </row>
    <row r="233" ht="36.0" customHeight="1">
      <c r="A233" s="16" t="s">
        <v>2428</v>
      </c>
      <c r="B233" s="16" t="str">
        <f>IMAGE("https://lmztiles.s3.eu-west-1.amazonaws.com/Modern_Interiors_v41.3.4/1_Interiors/16x16/Theme_Sorter_Singles/12_Kitchen_Singles/Kitchen_Singles_234.png")</f>
        <v/>
      </c>
    </row>
    <row r="234" ht="36.0" customHeight="1">
      <c r="A234" s="16" t="s">
        <v>2429</v>
      </c>
      <c r="B234" s="16" t="str">
        <f>IMAGE("https://lmztiles.s3.eu-west-1.amazonaws.com/Modern_Interiors_v41.3.4/1_Interiors/16x16/Theme_Sorter_Singles/12_Kitchen_Singles/Kitchen_Singles_235.png")</f>
        <v/>
      </c>
    </row>
    <row r="235" ht="36.0" customHeight="1">
      <c r="A235" s="16" t="s">
        <v>2430</v>
      </c>
      <c r="B235" s="16" t="str">
        <f>IMAGE("https://lmztiles.s3.eu-west-1.amazonaws.com/Modern_Interiors_v41.3.4/1_Interiors/16x16/Theme_Sorter_Singles/12_Kitchen_Singles/Kitchen_Singles_236.png")</f>
        <v/>
      </c>
    </row>
    <row r="236" ht="36.0" customHeight="1">
      <c r="A236" s="16" t="s">
        <v>2431</v>
      </c>
      <c r="B236" s="16" t="str">
        <f>IMAGE("https://lmztiles.s3.eu-west-1.amazonaws.com/Modern_Interiors_v41.3.4/1_Interiors/16x16/Theme_Sorter_Singles/12_Kitchen_Singles/Kitchen_Singles_237.png")</f>
        <v/>
      </c>
    </row>
    <row r="237" ht="36.0" customHeight="1">
      <c r="A237" s="16" t="s">
        <v>2432</v>
      </c>
      <c r="B237" s="16" t="str">
        <f>IMAGE("https://lmztiles.s3.eu-west-1.amazonaws.com/Modern_Interiors_v41.3.4/1_Interiors/16x16/Theme_Sorter_Singles/12_Kitchen_Singles/Kitchen_Singles_238.png")</f>
        <v/>
      </c>
    </row>
    <row r="238" ht="36.0" customHeight="1">
      <c r="A238" s="16" t="s">
        <v>2433</v>
      </c>
      <c r="B238" s="16" t="str">
        <f>IMAGE("https://lmztiles.s3.eu-west-1.amazonaws.com/Modern_Interiors_v41.3.4/1_Interiors/16x16/Theme_Sorter_Singles/12_Kitchen_Singles/Kitchen_Singles_239.png")</f>
        <v/>
      </c>
    </row>
    <row r="239" ht="36.0" customHeight="1">
      <c r="A239" s="16" t="s">
        <v>2434</v>
      </c>
      <c r="B239" s="16" t="str">
        <f>IMAGE("https://lmztiles.s3.eu-west-1.amazonaws.com/Modern_Interiors_v41.3.4/1_Interiors/16x16/Theme_Sorter_Singles/12_Kitchen_Singles/Kitchen_Singles_240.png")</f>
        <v/>
      </c>
    </row>
    <row r="240" ht="36.0" customHeight="1">
      <c r="A240" s="16" t="s">
        <v>2435</v>
      </c>
      <c r="B240" s="16" t="str">
        <f>IMAGE("https://lmztiles.s3.eu-west-1.amazonaws.com/Modern_Interiors_v41.3.4/1_Interiors/16x16/Theme_Sorter_Singles/12_Kitchen_Singles/Kitchen_Singles_241.png")</f>
        <v/>
      </c>
    </row>
    <row r="241" ht="36.0" customHeight="1">
      <c r="A241" s="16" t="s">
        <v>2436</v>
      </c>
      <c r="B241" s="16" t="str">
        <f>IMAGE("https://lmztiles.s3.eu-west-1.amazonaws.com/Modern_Interiors_v41.3.4/1_Interiors/16x16/Theme_Sorter_Singles/12_Kitchen_Singles/Kitchen_Singles_242.png")</f>
        <v/>
      </c>
    </row>
    <row r="242" ht="36.0" customHeight="1">
      <c r="A242" s="16" t="s">
        <v>2437</v>
      </c>
      <c r="B242" s="16" t="str">
        <f>IMAGE("https://lmztiles.s3.eu-west-1.amazonaws.com/Modern_Interiors_v41.3.4/1_Interiors/16x16/Theme_Sorter_Singles/12_Kitchen_Singles/Kitchen_Singles_243.png")</f>
        <v/>
      </c>
    </row>
    <row r="243" ht="36.0" customHeight="1">
      <c r="A243" s="16" t="s">
        <v>2438</v>
      </c>
      <c r="B243" s="16" t="str">
        <f>IMAGE("https://lmztiles.s3.eu-west-1.amazonaws.com/Modern_Interiors_v41.3.4/1_Interiors/16x16/Theme_Sorter_Singles/12_Kitchen_Singles/Kitchen_Singles_244.png")</f>
        <v/>
      </c>
    </row>
    <row r="244" ht="36.0" customHeight="1">
      <c r="A244" s="16" t="s">
        <v>2439</v>
      </c>
      <c r="B244" s="16" t="str">
        <f>IMAGE("https://lmztiles.s3.eu-west-1.amazonaws.com/Modern_Interiors_v41.3.4/1_Interiors/16x16/Theme_Sorter_Singles/12_Kitchen_Singles/Kitchen_Singles_245.png")</f>
        <v/>
      </c>
    </row>
    <row r="245" ht="36.0" customHeight="1">
      <c r="A245" s="16" t="s">
        <v>2440</v>
      </c>
      <c r="B245" s="16" t="str">
        <f>IMAGE("https://lmztiles.s3.eu-west-1.amazonaws.com/Modern_Interiors_v41.3.4/1_Interiors/16x16/Theme_Sorter_Singles/12_Kitchen_Singles/Kitchen_Singles_246.png")</f>
        <v/>
      </c>
    </row>
    <row r="246" ht="36.0" customHeight="1">
      <c r="A246" s="16" t="s">
        <v>2441</v>
      </c>
      <c r="B246" s="16" t="str">
        <f>IMAGE("https://lmztiles.s3.eu-west-1.amazonaws.com/Modern_Interiors_v41.3.4/1_Interiors/16x16/Theme_Sorter_Singles/12_Kitchen_Singles/Kitchen_Singles_247.png")</f>
        <v/>
      </c>
    </row>
    <row r="247" ht="36.0" customHeight="1">
      <c r="A247" s="16" t="s">
        <v>2442</v>
      </c>
      <c r="B247" s="16" t="str">
        <f>IMAGE("https://lmztiles.s3.eu-west-1.amazonaws.com/Modern_Interiors_v41.3.4/1_Interiors/16x16/Theme_Sorter_Singles/12_Kitchen_Singles/Kitchen_Singles_248.png")</f>
        <v/>
      </c>
    </row>
    <row r="248" ht="36.0" customHeight="1">
      <c r="A248" s="16" t="s">
        <v>2443</v>
      </c>
      <c r="B248" s="16" t="str">
        <f>IMAGE("https://lmztiles.s3.eu-west-1.amazonaws.com/Modern_Interiors_v41.3.4/1_Interiors/16x16/Theme_Sorter_Singles/12_Kitchen_Singles/Kitchen_Singles_249.png")</f>
        <v/>
      </c>
    </row>
    <row r="249" ht="36.0" customHeight="1">
      <c r="A249" s="16" t="s">
        <v>2444</v>
      </c>
      <c r="B249" s="16" t="str">
        <f>IMAGE("https://lmztiles.s3.eu-west-1.amazonaws.com/Modern_Interiors_v41.3.4/1_Interiors/16x16/Theme_Sorter_Singles/12_Kitchen_Singles/Kitchen_Singles_250.png")</f>
        <v/>
      </c>
    </row>
    <row r="250" ht="36.0" customHeight="1">
      <c r="A250" s="16" t="s">
        <v>2445</v>
      </c>
      <c r="B250" s="16" t="str">
        <f>IMAGE("https://lmztiles.s3.eu-west-1.amazonaws.com/Modern_Interiors_v41.3.4/1_Interiors/16x16/Theme_Sorter_Singles/12_Kitchen_Singles/Kitchen_Singles_251.png")</f>
        <v/>
      </c>
    </row>
    <row r="251" ht="36.0" customHeight="1">
      <c r="A251" s="16" t="s">
        <v>2446</v>
      </c>
      <c r="B251" s="16" t="str">
        <f>IMAGE("https://lmztiles.s3.eu-west-1.amazonaws.com/Modern_Interiors_v41.3.4/1_Interiors/16x16/Theme_Sorter_Singles/12_Kitchen_Singles/Kitchen_Singles_252.png")</f>
        <v/>
      </c>
    </row>
    <row r="252" ht="36.0" customHeight="1">
      <c r="A252" s="16" t="s">
        <v>2447</v>
      </c>
      <c r="B252" s="16" t="str">
        <f>IMAGE("https://lmztiles.s3.eu-west-1.amazonaws.com/Modern_Interiors_v41.3.4/1_Interiors/16x16/Theme_Sorter_Singles/12_Kitchen_Singles/Kitchen_Singles_253.png")</f>
        <v/>
      </c>
    </row>
    <row r="253" ht="36.0" customHeight="1">
      <c r="A253" s="16" t="s">
        <v>2448</v>
      </c>
      <c r="B253" s="16" t="str">
        <f>IMAGE("https://lmztiles.s3.eu-west-1.amazonaws.com/Modern_Interiors_v41.3.4/1_Interiors/16x16/Theme_Sorter_Singles/12_Kitchen_Singles/Kitchen_Singles_254.png")</f>
        <v/>
      </c>
    </row>
    <row r="254" ht="36.0" customHeight="1">
      <c r="A254" s="16" t="s">
        <v>2449</v>
      </c>
      <c r="B254" s="16" t="str">
        <f>IMAGE("https://lmztiles.s3.eu-west-1.amazonaws.com/Modern_Interiors_v41.3.4/1_Interiors/16x16/Theme_Sorter_Singles/12_Kitchen_Singles/Kitchen_Singles_255.png")</f>
        <v/>
      </c>
    </row>
    <row r="255" ht="36.0" customHeight="1">
      <c r="A255" s="16" t="s">
        <v>2450</v>
      </c>
      <c r="B255" s="16" t="str">
        <f>IMAGE("https://lmztiles.s3.eu-west-1.amazonaws.com/Modern_Interiors_v41.3.4/1_Interiors/16x16/Theme_Sorter_Singles/12_Kitchen_Singles/Kitchen_Singles_256.png")</f>
        <v/>
      </c>
    </row>
    <row r="256" ht="36.0" customHeight="1">
      <c r="A256" s="16" t="s">
        <v>2451</v>
      </c>
      <c r="B256" s="16" t="str">
        <f>IMAGE("https://lmztiles.s3.eu-west-1.amazonaws.com/Modern_Interiors_v41.3.4/1_Interiors/16x16/Theme_Sorter_Singles/12_Kitchen_Singles/Kitchen_Singles_257.png")</f>
        <v/>
      </c>
    </row>
    <row r="257" ht="36.0" customHeight="1">
      <c r="A257" s="16" t="s">
        <v>2452</v>
      </c>
      <c r="B257" s="16" t="str">
        <f>IMAGE("https://lmztiles.s3.eu-west-1.amazonaws.com/Modern_Interiors_v41.3.4/1_Interiors/16x16/Theme_Sorter_Singles/12_Kitchen_Singles/Kitchen_Singles_258.png")</f>
        <v/>
      </c>
    </row>
    <row r="258" ht="36.0" customHeight="1">
      <c r="A258" s="16" t="s">
        <v>2453</v>
      </c>
      <c r="B258" s="16" t="str">
        <f>IMAGE("https://lmztiles.s3.eu-west-1.amazonaws.com/Modern_Interiors_v41.3.4/1_Interiors/16x16/Theme_Sorter_Singles/12_Kitchen_Singles/Kitchen_Singles_259.png")</f>
        <v/>
      </c>
    </row>
    <row r="259" ht="36.0" customHeight="1">
      <c r="A259" s="16" t="s">
        <v>2454</v>
      </c>
      <c r="B259" s="16" t="str">
        <f>IMAGE("https://lmztiles.s3.eu-west-1.amazonaws.com/Modern_Interiors_v41.3.4/1_Interiors/16x16/Theme_Sorter_Singles/12_Kitchen_Singles/Kitchen_Singles_260.png")</f>
        <v/>
      </c>
    </row>
    <row r="260" ht="36.0" customHeight="1">
      <c r="A260" s="16" t="s">
        <v>2455</v>
      </c>
      <c r="B260" s="16" t="str">
        <f>IMAGE("https://lmztiles.s3.eu-west-1.amazonaws.com/Modern_Interiors_v41.3.4/1_Interiors/16x16/Theme_Sorter_Singles/12_Kitchen_Singles/Kitchen_Singles_261.png")</f>
        <v/>
      </c>
    </row>
    <row r="261" ht="36.0" customHeight="1">
      <c r="A261" s="16" t="s">
        <v>2456</v>
      </c>
      <c r="B261" s="16" t="str">
        <f>IMAGE("https://lmztiles.s3.eu-west-1.amazonaws.com/Modern_Interiors_v41.3.4/1_Interiors/16x16/Theme_Sorter_Singles/12_Kitchen_Singles/Kitchen_Singles_262.png")</f>
        <v/>
      </c>
    </row>
    <row r="262" ht="36.0" customHeight="1">
      <c r="A262" s="16" t="s">
        <v>2457</v>
      </c>
      <c r="B262" s="16" t="str">
        <f>IMAGE("https://lmztiles.s3.eu-west-1.amazonaws.com/Modern_Interiors_v41.3.4/1_Interiors/16x16/Theme_Sorter_Singles/12_Kitchen_Singles/Kitchen_Singles_263.png")</f>
        <v/>
      </c>
    </row>
    <row r="263" ht="36.0" customHeight="1">
      <c r="A263" s="16" t="s">
        <v>2458</v>
      </c>
      <c r="B263" s="16" t="str">
        <f>IMAGE("https://lmztiles.s3.eu-west-1.amazonaws.com/Modern_Interiors_v41.3.4/1_Interiors/16x16/Theme_Sorter_Singles/12_Kitchen_Singles/Kitchen_Singles_264.png")</f>
        <v/>
      </c>
    </row>
    <row r="264" ht="36.0" customHeight="1">
      <c r="A264" s="16" t="s">
        <v>2459</v>
      </c>
      <c r="B264" s="16" t="str">
        <f>IMAGE("https://lmztiles.s3.eu-west-1.amazonaws.com/Modern_Interiors_v41.3.4/1_Interiors/16x16/Theme_Sorter_Singles/12_Kitchen_Singles/Kitchen_Singles_265.png")</f>
        <v/>
      </c>
    </row>
    <row r="265" ht="36.0" customHeight="1">
      <c r="A265" s="16" t="s">
        <v>2460</v>
      </c>
      <c r="B265" s="16" t="str">
        <f>IMAGE("https://lmztiles.s3.eu-west-1.amazonaws.com/Modern_Interiors_v41.3.4/1_Interiors/16x16/Theme_Sorter_Singles/12_Kitchen_Singles/Kitchen_Singles_266.png")</f>
        <v/>
      </c>
    </row>
    <row r="266" ht="36.0" customHeight="1">
      <c r="A266" s="16" t="s">
        <v>2461</v>
      </c>
      <c r="B266" s="16" t="str">
        <f>IMAGE("https://lmztiles.s3.eu-west-1.amazonaws.com/Modern_Interiors_v41.3.4/1_Interiors/16x16/Theme_Sorter_Singles/12_Kitchen_Singles/Kitchen_Singles_268.png")</f>
        <v/>
      </c>
    </row>
    <row r="267" ht="36.0" customHeight="1">
      <c r="A267" s="16" t="s">
        <v>2462</v>
      </c>
      <c r="B267" s="16" t="str">
        <f>IMAGE("https://lmztiles.s3.eu-west-1.amazonaws.com/Modern_Interiors_v41.3.4/1_Interiors/16x16/Theme_Sorter_Singles/12_Kitchen_Singles/Kitchen_Singles_269.png")</f>
        <v/>
      </c>
    </row>
    <row r="268" ht="36.0" customHeight="1">
      <c r="A268" s="16" t="s">
        <v>2463</v>
      </c>
      <c r="B268" s="16" t="str">
        <f>IMAGE("https://lmztiles.s3.eu-west-1.amazonaws.com/Modern_Interiors_v41.3.4/1_Interiors/16x16/Theme_Sorter_Singles/12_Kitchen_Singles/Kitchen_Singles_270.png")</f>
        <v/>
      </c>
    </row>
    <row r="269" ht="36.0" customHeight="1">
      <c r="A269" s="16" t="s">
        <v>2464</v>
      </c>
      <c r="B269" s="16" t="str">
        <f>IMAGE("https://lmztiles.s3.eu-west-1.amazonaws.com/Modern_Interiors_v41.3.4/1_Interiors/16x16/Theme_Sorter_Singles/12_Kitchen_Singles/Kitchen_Singles_271.png")</f>
        <v/>
      </c>
    </row>
    <row r="270" ht="36.0" customHeight="1">
      <c r="A270" s="16" t="s">
        <v>2465</v>
      </c>
      <c r="B270" s="16" t="str">
        <f>IMAGE("https://lmztiles.s3.eu-west-1.amazonaws.com/Modern_Interiors_v41.3.4/1_Interiors/16x16/Theme_Sorter_Singles/12_Kitchen_Singles/Kitchen_Singles_272.png")</f>
        <v/>
      </c>
    </row>
    <row r="271" ht="36.0" customHeight="1">
      <c r="A271" s="16" t="s">
        <v>2466</v>
      </c>
      <c r="B271" s="16" t="str">
        <f>IMAGE("https://lmztiles.s3.eu-west-1.amazonaws.com/Modern_Interiors_v41.3.4/1_Interiors/16x16/Theme_Sorter_Singles/12_Kitchen_Singles/Kitchen_Singles_273.png")</f>
        <v/>
      </c>
    </row>
    <row r="272" ht="36.0" customHeight="1">
      <c r="A272" s="16" t="s">
        <v>2467</v>
      </c>
      <c r="B272" s="16" t="str">
        <f>IMAGE("https://lmztiles.s3.eu-west-1.amazonaws.com/Modern_Interiors_v41.3.4/1_Interiors/16x16/Theme_Sorter_Singles/12_Kitchen_Singles/Kitchen_Singles_274.png")</f>
        <v/>
      </c>
    </row>
    <row r="273" ht="36.0" customHeight="1">
      <c r="A273" s="16" t="s">
        <v>2468</v>
      </c>
      <c r="B273" s="16" t="str">
        <f>IMAGE("https://lmztiles.s3.eu-west-1.amazonaws.com/Modern_Interiors_v41.3.4/1_Interiors/16x16/Theme_Sorter_Singles/12_Kitchen_Singles/Kitchen_Singles_275.png")</f>
        <v/>
      </c>
    </row>
    <row r="274" ht="36.0" customHeight="1">
      <c r="A274" s="16" t="s">
        <v>2469</v>
      </c>
      <c r="B274" s="16" t="str">
        <f>IMAGE("https://lmztiles.s3.eu-west-1.amazonaws.com/Modern_Interiors_v41.3.4/1_Interiors/16x16/Theme_Sorter_Singles/12_Kitchen_Singles/Kitchen_Singles_276.png")</f>
        <v/>
      </c>
    </row>
    <row r="275" ht="36.0" customHeight="1">
      <c r="A275" s="16" t="s">
        <v>2470</v>
      </c>
      <c r="B275" s="16" t="str">
        <f>IMAGE("https://lmztiles.s3.eu-west-1.amazonaws.com/Modern_Interiors_v41.3.4/1_Interiors/16x16/Theme_Sorter_Singles/12_Kitchen_Singles/Kitchen_Singles_277.png")</f>
        <v/>
      </c>
    </row>
    <row r="276" ht="36.0" customHeight="1">
      <c r="A276" s="16" t="s">
        <v>2471</v>
      </c>
      <c r="B276" s="16" t="str">
        <f>IMAGE("https://lmztiles.s3.eu-west-1.amazonaws.com/Modern_Interiors_v41.3.4/1_Interiors/16x16/Theme_Sorter_Singles/12_Kitchen_Singles/Kitchen_Singles_278.png")</f>
        <v/>
      </c>
    </row>
    <row r="277" ht="36.0" customHeight="1">
      <c r="A277" s="16" t="s">
        <v>2472</v>
      </c>
      <c r="B277" s="16" t="str">
        <f>IMAGE("https://lmztiles.s3.eu-west-1.amazonaws.com/Modern_Interiors_v41.3.4/1_Interiors/16x16/Theme_Sorter_Singles/12_Kitchen_Singles/Kitchen_Singles_279.png")</f>
        <v/>
      </c>
    </row>
    <row r="278" ht="36.0" customHeight="1">
      <c r="A278" s="16" t="s">
        <v>2473</v>
      </c>
      <c r="B278" s="16" t="str">
        <f>IMAGE("https://lmztiles.s3.eu-west-1.amazonaws.com/Modern_Interiors_v41.3.4/1_Interiors/16x16/Theme_Sorter_Singles/12_Kitchen_Singles/Kitchen_Singles_280.png")</f>
        <v/>
      </c>
    </row>
    <row r="279" ht="36.0" customHeight="1">
      <c r="A279" s="16" t="s">
        <v>2474</v>
      </c>
      <c r="B279" s="16" t="str">
        <f>IMAGE("https://lmztiles.s3.eu-west-1.amazonaws.com/Modern_Interiors_v41.3.4/1_Interiors/16x16/Theme_Sorter_Singles/12_Kitchen_Singles/Kitchen_Singles_281.png")</f>
        <v/>
      </c>
    </row>
    <row r="280" ht="36.0" customHeight="1">
      <c r="A280" s="16" t="s">
        <v>2475</v>
      </c>
      <c r="B280" s="16" t="str">
        <f>IMAGE("https://lmztiles.s3.eu-west-1.amazonaws.com/Modern_Interiors_v41.3.4/1_Interiors/16x16/Theme_Sorter_Singles/12_Kitchen_Singles/Kitchen_Singles_282.png")</f>
        <v/>
      </c>
    </row>
    <row r="281" ht="36.0" customHeight="1">
      <c r="A281" s="16" t="s">
        <v>2476</v>
      </c>
      <c r="B281" s="16" t="str">
        <f>IMAGE("https://lmztiles.s3.eu-west-1.amazonaws.com/Modern_Interiors_v41.3.4/1_Interiors/16x16/Theme_Sorter_Singles/12_Kitchen_Singles/Kitchen_Singles_283.png")</f>
        <v/>
      </c>
    </row>
    <row r="282" ht="36.0" customHeight="1">
      <c r="A282" s="16" t="s">
        <v>2477</v>
      </c>
      <c r="B282" s="16" t="str">
        <f>IMAGE("https://lmztiles.s3.eu-west-1.amazonaws.com/Modern_Interiors_v41.3.4/1_Interiors/16x16/Theme_Sorter_Singles/12_Kitchen_Singles/Kitchen_Singles_284.png")</f>
        <v/>
      </c>
    </row>
    <row r="283" ht="36.0" customHeight="1">
      <c r="A283" s="16" t="s">
        <v>2478</v>
      </c>
      <c r="B283" s="16" t="str">
        <f>IMAGE("https://lmztiles.s3.eu-west-1.amazonaws.com/Modern_Interiors_v41.3.4/1_Interiors/16x16/Theme_Sorter_Singles/12_Kitchen_Singles/Kitchen_Singles_285.png")</f>
        <v/>
      </c>
    </row>
    <row r="284" ht="36.0" customHeight="1">
      <c r="A284" s="16" t="s">
        <v>2479</v>
      </c>
      <c r="B284" s="16" t="str">
        <f>IMAGE("https://lmztiles.s3.eu-west-1.amazonaws.com/Modern_Interiors_v41.3.4/1_Interiors/16x16/Theme_Sorter_Singles/12_Kitchen_Singles/Kitchen_Singles_286.png")</f>
        <v/>
      </c>
    </row>
    <row r="285" ht="36.0" customHeight="1">
      <c r="A285" s="16" t="s">
        <v>2480</v>
      </c>
      <c r="B285" s="16" t="str">
        <f>IMAGE("https://lmztiles.s3.eu-west-1.amazonaws.com/Modern_Interiors_v41.3.4/1_Interiors/16x16/Theme_Sorter_Singles/12_Kitchen_Singles/Kitchen_Singles_287.png")</f>
        <v/>
      </c>
    </row>
    <row r="286" ht="36.0" customHeight="1">
      <c r="A286" s="16" t="s">
        <v>2481</v>
      </c>
      <c r="B286" s="16" t="str">
        <f>IMAGE("https://lmztiles.s3.eu-west-1.amazonaws.com/Modern_Interiors_v41.3.4/1_Interiors/16x16/Theme_Sorter_Singles/12_Kitchen_Singles/Kitchen_Singles_288.png")</f>
        <v/>
      </c>
    </row>
    <row r="287" ht="36.0" customHeight="1">
      <c r="A287" s="16" t="s">
        <v>2482</v>
      </c>
      <c r="B287" s="16" t="str">
        <f>IMAGE("https://lmztiles.s3.eu-west-1.amazonaws.com/Modern_Interiors_v41.3.4/1_Interiors/16x16/Theme_Sorter_Singles/12_Kitchen_Singles/Kitchen_Singles_289.png")</f>
        <v/>
      </c>
    </row>
    <row r="288" ht="36.0" customHeight="1">
      <c r="A288" s="16" t="s">
        <v>2483</v>
      </c>
      <c r="B288" s="16" t="str">
        <f>IMAGE("https://lmztiles.s3.eu-west-1.amazonaws.com/Modern_Interiors_v41.3.4/1_Interiors/16x16/Theme_Sorter_Singles/12_Kitchen_Singles/Kitchen_Singles_290.png")</f>
        <v/>
      </c>
    </row>
    <row r="289" ht="36.0" customHeight="1">
      <c r="A289" s="16" t="s">
        <v>2484</v>
      </c>
      <c r="B289" s="16" t="str">
        <f>IMAGE("https://lmztiles.s3.eu-west-1.amazonaws.com/Modern_Interiors_v41.3.4/1_Interiors/16x16/Theme_Sorter_Singles/12_Kitchen_Singles/Kitchen_Singles_291.png")</f>
        <v/>
      </c>
    </row>
    <row r="290" ht="36.0" customHeight="1">
      <c r="A290" s="16" t="s">
        <v>2485</v>
      </c>
      <c r="B290" s="16" t="str">
        <f>IMAGE("https://lmztiles.s3.eu-west-1.amazonaws.com/Modern_Interiors_v41.3.4/1_Interiors/16x16/Theme_Sorter_Singles/12_Kitchen_Singles/Kitchen_Singles_292.png")</f>
        <v/>
      </c>
    </row>
    <row r="291" ht="36.0" customHeight="1">
      <c r="A291" s="16" t="s">
        <v>2486</v>
      </c>
      <c r="B291" s="16" t="str">
        <f>IMAGE("https://lmztiles.s3.eu-west-1.amazonaws.com/Modern_Interiors_v41.3.4/1_Interiors/16x16/Theme_Sorter_Singles/12_Kitchen_Singles/Kitchen_Singles_293.png")</f>
        <v/>
      </c>
    </row>
    <row r="292" ht="36.0" customHeight="1">
      <c r="A292" s="16" t="s">
        <v>2487</v>
      </c>
      <c r="B292" s="16" t="str">
        <f>IMAGE("https://lmztiles.s3.eu-west-1.amazonaws.com/Modern_Interiors_v41.3.4/1_Interiors/16x16/Theme_Sorter_Singles/12_Kitchen_Singles/Kitchen_Singles_294.png")</f>
        <v/>
      </c>
    </row>
    <row r="293" ht="36.0" customHeight="1">
      <c r="A293" s="16" t="s">
        <v>2488</v>
      </c>
      <c r="B293" s="16" t="str">
        <f>IMAGE("https://lmztiles.s3.eu-west-1.amazonaws.com/Modern_Interiors_v41.3.4/1_Interiors/16x16/Theme_Sorter_Singles/12_Kitchen_Singles/Kitchen_Singles_295.png")</f>
        <v/>
      </c>
    </row>
    <row r="294" ht="36.0" customHeight="1">
      <c r="A294" s="16" t="s">
        <v>2489</v>
      </c>
      <c r="B294" s="16" t="str">
        <f>IMAGE("https://lmztiles.s3.eu-west-1.amazonaws.com/Modern_Interiors_v41.3.4/1_Interiors/16x16/Theme_Sorter_Singles/12_Kitchen_Singles/Kitchen_Singles_296.png")</f>
        <v/>
      </c>
    </row>
    <row r="295" ht="36.0" customHeight="1">
      <c r="A295" s="16" t="s">
        <v>2490</v>
      </c>
      <c r="B295" s="16" t="str">
        <f>IMAGE("https://lmztiles.s3.eu-west-1.amazonaws.com/Modern_Interiors_v41.3.4/1_Interiors/16x16/Theme_Sorter_Singles/12_Kitchen_Singles/Kitchen_Singles_297.png")</f>
        <v/>
      </c>
    </row>
    <row r="296" ht="36.0" customHeight="1">
      <c r="A296" s="16" t="s">
        <v>2491</v>
      </c>
      <c r="B296" s="16" t="str">
        <f>IMAGE("https://lmztiles.s3.eu-west-1.amazonaws.com/Modern_Interiors_v41.3.4/1_Interiors/16x16/Theme_Sorter_Singles/12_Kitchen_Singles/Kitchen_Singles_298.png")</f>
        <v/>
      </c>
    </row>
    <row r="297" ht="36.0" customHeight="1">
      <c r="A297" s="16" t="s">
        <v>2492</v>
      </c>
      <c r="B297" s="16" t="str">
        <f>IMAGE("https://lmztiles.s3.eu-west-1.amazonaws.com/Modern_Interiors_v41.3.4/1_Interiors/16x16/Theme_Sorter_Singles/12_Kitchen_Singles/Kitchen_Singles_299.png")</f>
        <v/>
      </c>
    </row>
    <row r="298" ht="36.0" customHeight="1">
      <c r="A298" s="16" t="s">
        <v>2493</v>
      </c>
      <c r="B298" s="16" t="str">
        <f>IMAGE("https://lmztiles.s3.eu-west-1.amazonaws.com/Modern_Interiors_v41.3.4/1_Interiors/16x16/Theme_Sorter_Singles/12_Kitchen_Singles/Kitchen_Singles_300.png")</f>
        <v/>
      </c>
    </row>
    <row r="299" ht="36.0" customHeight="1">
      <c r="A299" s="16" t="s">
        <v>2494</v>
      </c>
      <c r="B299" s="16" t="str">
        <f>IMAGE("https://lmztiles.s3.eu-west-1.amazonaws.com/Modern_Interiors_v41.3.4/1_Interiors/16x16/Theme_Sorter_Singles/12_Kitchen_Singles/Kitchen_Singles_301.png")</f>
        <v/>
      </c>
    </row>
    <row r="300" ht="36.0" customHeight="1">
      <c r="A300" s="16" t="s">
        <v>2495</v>
      </c>
      <c r="B300" s="16" t="str">
        <f>IMAGE("https://lmztiles.s3.eu-west-1.amazonaws.com/Modern_Interiors_v41.3.4/1_Interiors/16x16/Theme_Sorter_Singles/12_Kitchen_Singles/Kitchen_Singles_302.png")</f>
        <v/>
      </c>
    </row>
    <row r="301" ht="36.0" customHeight="1">
      <c r="A301" s="16" t="s">
        <v>2496</v>
      </c>
      <c r="B301" s="16" t="str">
        <f>IMAGE("https://lmztiles.s3.eu-west-1.amazonaws.com/Modern_Interiors_v41.3.4/1_Interiors/16x16/Theme_Sorter_Singles/12_Kitchen_Singles/Kitchen_Singles_303.png")</f>
        <v/>
      </c>
    </row>
    <row r="302" ht="36.0" customHeight="1">
      <c r="A302" s="16" t="s">
        <v>2497</v>
      </c>
      <c r="B302" s="16" t="str">
        <f>IMAGE("https://lmztiles.s3.eu-west-1.amazonaws.com/Modern_Interiors_v41.3.4/1_Interiors/16x16/Theme_Sorter_Singles/12_Kitchen_Singles/Kitchen_Singles_304.png")</f>
        <v/>
      </c>
    </row>
    <row r="303" ht="36.0" customHeight="1">
      <c r="A303" s="16" t="s">
        <v>2498</v>
      </c>
      <c r="B303" s="16" t="str">
        <f>IMAGE("https://lmztiles.s3.eu-west-1.amazonaws.com/Modern_Interiors_v41.3.4/1_Interiors/16x16/Theme_Sorter_Singles/12_Kitchen_Singles/Kitchen_Singles_305.png")</f>
        <v/>
      </c>
    </row>
    <row r="304" ht="36.0" customHeight="1">
      <c r="A304" s="16" t="s">
        <v>2499</v>
      </c>
      <c r="B304" s="16" t="str">
        <f>IMAGE("https://lmztiles.s3.eu-west-1.amazonaws.com/Modern_Interiors_v41.3.4/1_Interiors/16x16/Theme_Sorter_Singles/12_Kitchen_Singles/Kitchen_Singles_306.png")</f>
        <v/>
      </c>
    </row>
    <row r="305" ht="36.0" customHeight="1">
      <c r="A305" s="16" t="s">
        <v>2500</v>
      </c>
      <c r="B305" s="16" t="str">
        <f>IMAGE("https://lmztiles.s3.eu-west-1.amazonaws.com/Modern_Interiors_v41.3.4/1_Interiors/16x16/Theme_Sorter_Singles/12_Kitchen_Singles/Kitchen_Singles_307.png")</f>
        <v/>
      </c>
    </row>
    <row r="306" ht="36.0" customHeight="1">
      <c r="A306" s="16" t="s">
        <v>2501</v>
      </c>
      <c r="B306" s="16" t="str">
        <f>IMAGE("https://lmztiles.s3.eu-west-1.amazonaws.com/Modern_Interiors_v41.3.4/1_Interiors/16x16/Theme_Sorter_Singles/12_Kitchen_Singles/Kitchen_Singles_308.png")</f>
        <v/>
      </c>
    </row>
    <row r="307" ht="36.0" customHeight="1">
      <c r="A307" s="16" t="s">
        <v>2502</v>
      </c>
      <c r="B307" s="16" t="str">
        <f>IMAGE("https://lmztiles.s3.eu-west-1.amazonaws.com/Modern_Interiors_v41.3.4/1_Interiors/16x16/Theme_Sorter_Singles/12_Kitchen_Singles/Kitchen_Singles_309.png")</f>
        <v/>
      </c>
    </row>
    <row r="308" ht="36.0" customHeight="1">
      <c r="A308" s="16" t="s">
        <v>2503</v>
      </c>
      <c r="B308" s="16" t="str">
        <f>IMAGE("https://lmztiles.s3.eu-west-1.amazonaws.com/Modern_Interiors_v41.3.4/1_Interiors/16x16/Theme_Sorter_Singles/12_Kitchen_Singles/Kitchen_Singles_310.png")</f>
        <v/>
      </c>
    </row>
    <row r="309" ht="36.0" customHeight="1">
      <c r="A309" s="16" t="s">
        <v>2504</v>
      </c>
      <c r="B309" s="16" t="str">
        <f>IMAGE("https://lmztiles.s3.eu-west-1.amazonaws.com/Modern_Interiors_v41.3.4/1_Interiors/16x16/Theme_Sorter_Singles/12_Kitchen_Singles/Kitchen_Singles_311.png")</f>
        <v/>
      </c>
    </row>
    <row r="310" ht="36.0" customHeight="1">
      <c r="A310" s="16" t="s">
        <v>2505</v>
      </c>
      <c r="B310" s="16" t="str">
        <f>IMAGE("https://lmztiles.s3.eu-west-1.amazonaws.com/Modern_Interiors_v41.3.4/1_Interiors/16x16/Theme_Sorter_Singles/12_Kitchen_Singles/Kitchen_Singles_312.png")</f>
        <v/>
      </c>
    </row>
    <row r="311" ht="36.0" customHeight="1">
      <c r="A311" s="16" t="s">
        <v>2506</v>
      </c>
      <c r="B311" s="16" t="str">
        <f>IMAGE("https://lmztiles.s3.eu-west-1.amazonaws.com/Modern_Interiors_v41.3.4/1_Interiors/16x16/Theme_Sorter_Singles/12_Kitchen_Singles/Kitchen_Singles_313.png")</f>
        <v/>
      </c>
    </row>
    <row r="312" ht="36.0" customHeight="1">
      <c r="A312" s="16" t="s">
        <v>2507</v>
      </c>
      <c r="B312" s="16" t="str">
        <f>IMAGE("https://lmztiles.s3.eu-west-1.amazonaws.com/Modern_Interiors_v41.3.4/1_Interiors/16x16/Theme_Sorter_Singles/12_Kitchen_Singles/Kitchen_Singles_314.png")</f>
        <v/>
      </c>
    </row>
    <row r="313" ht="36.0" customHeight="1">
      <c r="A313" s="16" t="s">
        <v>2508</v>
      </c>
      <c r="B313" s="16" t="str">
        <f>IMAGE("https://lmztiles.s3.eu-west-1.amazonaws.com/Modern_Interiors_v41.3.4/1_Interiors/16x16/Theme_Sorter_Singles/12_Kitchen_Singles/Kitchen_Singles_315.png")</f>
        <v/>
      </c>
    </row>
    <row r="314" ht="36.0" customHeight="1">
      <c r="A314" s="16" t="s">
        <v>2509</v>
      </c>
      <c r="B314" s="16" t="str">
        <f>IMAGE("https://lmztiles.s3.eu-west-1.amazonaws.com/Modern_Interiors_v41.3.4/1_Interiors/16x16/Theme_Sorter_Singles/12_Kitchen_Singles/Kitchen_Singles_316.png")</f>
        <v/>
      </c>
    </row>
    <row r="315" ht="36.0" customHeight="1">
      <c r="A315" s="16" t="s">
        <v>2510</v>
      </c>
      <c r="B315" s="16" t="str">
        <f>IMAGE("https://lmztiles.s3.eu-west-1.amazonaws.com/Modern_Interiors_v41.3.4/1_Interiors/16x16/Theme_Sorter_Singles/12_Kitchen_Singles/Kitchen_Singles_317.png")</f>
        <v/>
      </c>
    </row>
    <row r="316" ht="36.0" customHeight="1">
      <c r="A316" s="16" t="s">
        <v>2511</v>
      </c>
      <c r="B316" s="16" t="str">
        <f>IMAGE("https://lmztiles.s3.eu-west-1.amazonaws.com/Modern_Interiors_v41.3.4/1_Interiors/16x16/Theme_Sorter_Singles/12_Kitchen_Singles/Kitchen_Singles_318.png")</f>
        <v/>
      </c>
    </row>
    <row r="317" ht="36.0" customHeight="1">
      <c r="A317" s="16" t="s">
        <v>2512</v>
      </c>
      <c r="B317" s="16" t="str">
        <f>IMAGE("https://lmztiles.s3.eu-west-1.amazonaws.com/Modern_Interiors_v41.3.4/1_Interiors/16x16/Theme_Sorter_Singles/12_Kitchen_Singles/Kitchen_Singles_319.png")</f>
        <v/>
      </c>
    </row>
    <row r="318" ht="36.0" customHeight="1">
      <c r="A318" s="16" t="s">
        <v>2513</v>
      </c>
      <c r="B318" s="16" t="str">
        <f>IMAGE("https://lmztiles.s3.eu-west-1.amazonaws.com/Modern_Interiors_v41.3.4/1_Interiors/16x16/Theme_Sorter_Singles/12_Kitchen_Singles/Kitchen_Singles_320.png")</f>
        <v/>
      </c>
    </row>
    <row r="319" ht="36.0" customHeight="1">
      <c r="A319" s="16" t="s">
        <v>2514</v>
      </c>
      <c r="B319" s="16" t="str">
        <f>IMAGE("https://lmztiles.s3.eu-west-1.amazonaws.com/Modern_Interiors_v41.3.4/1_Interiors/16x16/Theme_Sorter_Singles/12_Kitchen_Singles/Kitchen_Singles_321.png")</f>
        <v/>
      </c>
    </row>
    <row r="320" ht="36.0" customHeight="1">
      <c r="A320" s="16" t="s">
        <v>2515</v>
      </c>
      <c r="B320" s="16" t="str">
        <f>IMAGE("https://lmztiles.s3.eu-west-1.amazonaws.com/Modern_Interiors_v41.3.4/1_Interiors/16x16/Theme_Sorter_Singles/12_Kitchen_Singles/Kitchen_Singles_322.png")</f>
        <v/>
      </c>
    </row>
    <row r="321" ht="36.0" customHeight="1">
      <c r="A321" s="16" t="s">
        <v>2516</v>
      </c>
      <c r="B321" s="16" t="str">
        <f>IMAGE("https://lmztiles.s3.eu-west-1.amazonaws.com/Modern_Interiors_v41.3.4/1_Interiors/16x16/Theme_Sorter_Singles/12_Kitchen_Singles/Kitchen_Singles_323.png")</f>
        <v/>
      </c>
    </row>
    <row r="322" ht="36.0" customHeight="1">
      <c r="A322" s="16" t="s">
        <v>2517</v>
      </c>
      <c r="B322" s="16" t="str">
        <f>IMAGE("https://lmztiles.s3.eu-west-1.amazonaws.com/Modern_Interiors_v41.3.4/1_Interiors/16x16/Theme_Sorter_Singles/12_Kitchen_Singles/Kitchen_Singles_324.png")</f>
        <v/>
      </c>
    </row>
    <row r="323" ht="36.0" customHeight="1">
      <c r="A323" s="16" t="s">
        <v>2518</v>
      </c>
      <c r="B323" s="16" t="str">
        <f>IMAGE("https://lmztiles.s3.eu-west-1.amazonaws.com/Modern_Interiors_v41.3.4/1_Interiors/16x16/Theme_Sorter_Singles/12_Kitchen_Singles/Kitchen_Singles_325.png")</f>
        <v/>
      </c>
    </row>
    <row r="324" ht="36.0" customHeight="1">
      <c r="A324" s="16" t="s">
        <v>2519</v>
      </c>
      <c r="B324" s="16" t="str">
        <f>IMAGE("https://lmztiles.s3.eu-west-1.amazonaws.com/Modern_Interiors_v41.3.4/1_Interiors/16x16/Theme_Sorter_Singles/12_Kitchen_Singles/Kitchen_Singles_326.png")</f>
        <v/>
      </c>
    </row>
    <row r="325" ht="36.0" customHeight="1">
      <c r="A325" s="16" t="s">
        <v>2520</v>
      </c>
      <c r="B325" s="16" t="str">
        <f>IMAGE("https://lmztiles.s3.eu-west-1.amazonaws.com/Modern_Interiors_v41.3.4/1_Interiors/16x16/Theme_Sorter_Singles/12_Kitchen_Singles/Kitchen_Singles_327.png")</f>
        <v/>
      </c>
    </row>
    <row r="326" ht="36.0" customHeight="1">
      <c r="A326" s="16" t="s">
        <v>2521</v>
      </c>
      <c r="B326" s="16" t="str">
        <f>IMAGE("https://lmztiles.s3.eu-west-1.amazonaws.com/Modern_Interiors_v41.3.4/1_Interiors/16x16/Theme_Sorter_Singles/12_Kitchen_Singles/Kitchen_Singles_328.png")</f>
        <v/>
      </c>
    </row>
    <row r="327" ht="36.0" customHeight="1">
      <c r="A327" s="16" t="s">
        <v>2522</v>
      </c>
      <c r="B327" s="16" t="str">
        <f>IMAGE("https://lmztiles.s3.eu-west-1.amazonaws.com/Modern_Interiors_v41.3.4/1_Interiors/16x16/Theme_Sorter_Singles/12_Kitchen_Singles/Kitchen_Singles_329.png")</f>
        <v/>
      </c>
    </row>
    <row r="328" ht="36.0" customHeight="1">
      <c r="A328" s="16" t="s">
        <v>2523</v>
      </c>
      <c r="B328" s="16" t="str">
        <f>IMAGE("https://lmztiles.s3.eu-west-1.amazonaws.com/Modern_Interiors_v41.3.4/1_Interiors/16x16/Theme_Sorter_Singles/12_Kitchen_Singles/Kitchen_Singles_330.png")</f>
        <v/>
      </c>
    </row>
    <row r="329" ht="36.0" customHeight="1">
      <c r="A329" s="16" t="s">
        <v>2524</v>
      </c>
      <c r="B329" s="16" t="str">
        <f>IMAGE("https://lmztiles.s3.eu-west-1.amazonaws.com/Modern_Interiors_v41.3.4/1_Interiors/16x16/Theme_Sorter_Singles/12_Kitchen_Singles/Kitchen_Singles_331.png")</f>
        <v/>
      </c>
    </row>
    <row r="330" ht="36.0" customHeight="1">
      <c r="A330" s="16" t="s">
        <v>2525</v>
      </c>
      <c r="B330" s="16" t="str">
        <f>IMAGE("https://lmztiles.s3.eu-west-1.amazonaws.com/Modern_Interiors_v41.3.4/1_Interiors/16x16/Theme_Sorter_Singles/12_Kitchen_Singles/Kitchen_Singles_332.png")</f>
        <v/>
      </c>
    </row>
    <row r="331" ht="36.0" customHeight="1">
      <c r="A331" s="16" t="s">
        <v>2526</v>
      </c>
      <c r="B331" s="16" t="str">
        <f>IMAGE("https://lmztiles.s3.eu-west-1.amazonaws.com/Modern_Interiors_v41.3.4/1_Interiors/16x16/Theme_Sorter_Singles/12_Kitchen_Singles/Kitchen_Singles_333.png")</f>
        <v/>
      </c>
    </row>
    <row r="332" ht="36.0" customHeight="1">
      <c r="A332" s="16" t="s">
        <v>2527</v>
      </c>
      <c r="B332" s="16" t="str">
        <f>IMAGE("https://lmztiles.s3.eu-west-1.amazonaws.com/Modern_Interiors_v41.3.4/1_Interiors/16x16/Theme_Sorter_Singles/12_Kitchen_Singles/Kitchen_Singles_334.png")</f>
        <v/>
      </c>
    </row>
    <row r="333" ht="36.0" customHeight="1">
      <c r="A333" s="16" t="s">
        <v>2528</v>
      </c>
      <c r="B333" s="16" t="str">
        <f>IMAGE("https://lmztiles.s3.eu-west-1.amazonaws.com/Modern_Interiors_v41.3.4/1_Interiors/16x16/Theme_Sorter_Singles/12_Kitchen_Singles/Kitchen_Singles_335.png")</f>
        <v/>
      </c>
    </row>
    <row r="334" ht="36.0" customHeight="1">
      <c r="A334" s="16" t="s">
        <v>2529</v>
      </c>
      <c r="B334" s="16" t="str">
        <f>IMAGE("https://lmztiles.s3.eu-west-1.amazonaws.com/Modern_Interiors_v41.3.4/1_Interiors/16x16/Theme_Sorter_Singles/12_Kitchen_Singles/Kitchen_Singles_336.png")</f>
        <v/>
      </c>
    </row>
    <row r="335" ht="36.0" customHeight="1">
      <c r="A335" s="16" t="s">
        <v>2530</v>
      </c>
      <c r="B335" s="16" t="str">
        <f>IMAGE("https://lmztiles.s3.eu-west-1.amazonaws.com/Modern_Interiors_v41.3.4/1_Interiors/16x16/Theme_Sorter_Singles/12_Kitchen_Singles/Kitchen_Singles_337.png")</f>
        <v/>
      </c>
    </row>
    <row r="336" ht="36.0" customHeight="1">
      <c r="A336" s="16" t="s">
        <v>2531</v>
      </c>
      <c r="B336" s="16" t="str">
        <f>IMAGE("https://lmztiles.s3.eu-west-1.amazonaws.com/Modern_Interiors_v41.3.4/1_Interiors/16x16/Theme_Sorter_Singles/12_Kitchen_Singles/Kitchen_Singles_338.png")</f>
        <v/>
      </c>
    </row>
    <row r="337" ht="36.0" customHeight="1">
      <c r="A337" s="16" t="s">
        <v>2532</v>
      </c>
      <c r="B337" s="16" t="str">
        <f>IMAGE("https://lmztiles.s3.eu-west-1.amazonaws.com/Modern_Interiors_v41.3.4/1_Interiors/16x16/Theme_Sorter_Singles/12_Kitchen_Singles/Kitchen_Singles_339.png")</f>
        <v/>
      </c>
    </row>
    <row r="338" ht="36.0" customHeight="1">
      <c r="A338" s="16" t="s">
        <v>2533</v>
      </c>
      <c r="B338" s="16" t="str">
        <f>IMAGE("https://lmztiles.s3.eu-west-1.amazonaws.com/Modern_Interiors_v41.3.4/1_Interiors/16x16/Theme_Sorter_Singles/12_Kitchen_Singles/Kitchen_Singles_340.png")</f>
        <v/>
      </c>
    </row>
    <row r="339" ht="36.0" customHeight="1">
      <c r="A339" s="16" t="s">
        <v>2534</v>
      </c>
      <c r="B339" s="16" t="str">
        <f>IMAGE("https://lmztiles.s3.eu-west-1.amazonaws.com/Modern_Interiors_v41.3.4/1_Interiors/16x16/Theme_Sorter_Singles/12_Kitchen_Singles/Kitchen_Singles_341.png")</f>
        <v/>
      </c>
    </row>
    <row r="340" ht="36.0" customHeight="1">
      <c r="A340" s="16" t="s">
        <v>2535</v>
      </c>
      <c r="B340" s="16" t="str">
        <f>IMAGE("https://lmztiles.s3.eu-west-1.amazonaws.com/Modern_Interiors_v41.3.4/1_Interiors/16x16/Theme_Sorter_Singles/12_Kitchen_Singles/Kitchen_Singles_342.png")</f>
        <v/>
      </c>
    </row>
    <row r="341" ht="36.0" customHeight="1">
      <c r="A341" s="16" t="s">
        <v>2536</v>
      </c>
      <c r="B341" s="16" t="str">
        <f>IMAGE("https://lmztiles.s3.eu-west-1.amazonaws.com/Modern_Interiors_v41.3.4/1_Interiors/16x16/Theme_Sorter_Singles/12_Kitchen_Singles/Kitchen_Singles_343.png")</f>
        <v/>
      </c>
    </row>
    <row r="342" ht="36.0" customHeight="1">
      <c r="A342" s="16" t="s">
        <v>2537</v>
      </c>
      <c r="B342" s="16" t="str">
        <f>IMAGE("https://lmztiles.s3.eu-west-1.amazonaws.com/Modern_Interiors_v41.3.4/1_Interiors/16x16/Theme_Sorter_Singles/12_Kitchen_Singles/Kitchen_Singles_344.png")</f>
        <v/>
      </c>
    </row>
    <row r="343" ht="36.0" customHeight="1">
      <c r="A343" s="16" t="s">
        <v>2538</v>
      </c>
      <c r="B343" s="16" t="str">
        <f>IMAGE("https://lmztiles.s3.eu-west-1.amazonaws.com/Modern_Interiors_v41.3.4/1_Interiors/16x16/Theme_Sorter_Singles/12_Kitchen_Singles/Kitchen_Singles_345.png")</f>
        <v/>
      </c>
    </row>
    <row r="344" ht="36.0" customHeight="1">
      <c r="A344" s="16" t="s">
        <v>2539</v>
      </c>
      <c r="B344" s="16" t="str">
        <f>IMAGE("https://lmztiles.s3.eu-west-1.amazonaws.com/Modern_Interiors_v41.3.4/1_Interiors/16x16/Theme_Sorter_Singles/12_Kitchen_Singles/Kitchen_Singles_346.png")</f>
        <v/>
      </c>
    </row>
    <row r="345" ht="36.0" customHeight="1">
      <c r="A345" s="16" t="s">
        <v>2540</v>
      </c>
      <c r="B345" s="16" t="str">
        <f>IMAGE("https://lmztiles.s3.eu-west-1.amazonaws.com/Modern_Interiors_v41.3.4/1_Interiors/16x16/Theme_Sorter_Singles/12_Kitchen_Singles/Kitchen_Singles_347.png")</f>
        <v/>
      </c>
    </row>
    <row r="346" ht="36.0" customHeight="1">
      <c r="A346" s="16" t="s">
        <v>2541</v>
      </c>
      <c r="B346" s="16" t="str">
        <f>IMAGE("https://lmztiles.s3.eu-west-1.amazonaws.com/Modern_Interiors_v41.3.4/1_Interiors/16x16/Theme_Sorter_Singles/12_Kitchen_Singles/Kitchen_Singles_348.png")</f>
        <v/>
      </c>
    </row>
    <row r="347" ht="36.0" customHeight="1">
      <c r="A347" s="16" t="s">
        <v>2542</v>
      </c>
      <c r="B347" s="16" t="str">
        <f>IMAGE("https://lmztiles.s3.eu-west-1.amazonaws.com/Modern_Interiors_v41.3.4/1_Interiors/16x16/Theme_Sorter_Singles/12_Kitchen_Singles/Kitchen_Singles_349.png")</f>
        <v/>
      </c>
    </row>
    <row r="348" ht="36.0" customHeight="1">
      <c r="A348" s="16" t="s">
        <v>2543</v>
      </c>
      <c r="B348" s="16" t="str">
        <f>IMAGE("https://lmztiles.s3.eu-west-1.amazonaws.com/Modern_Interiors_v41.3.4/1_Interiors/16x16/Theme_Sorter_Singles/12_Kitchen_Singles/Kitchen_Singles_350.png")</f>
        <v/>
      </c>
    </row>
    <row r="349" ht="36.0" customHeight="1">
      <c r="A349" s="16" t="s">
        <v>2544</v>
      </c>
      <c r="B349" s="16" t="str">
        <f>IMAGE("https://lmztiles.s3.eu-west-1.amazonaws.com/Modern_Interiors_v41.3.4/1_Interiors/16x16/Theme_Sorter_Singles/12_Kitchen_Singles/Kitchen_Singles_351.png")</f>
        <v/>
      </c>
    </row>
    <row r="350" ht="36.0" customHeight="1">
      <c r="A350" s="16" t="s">
        <v>2545</v>
      </c>
      <c r="B350" s="16" t="str">
        <f>IMAGE("https://lmztiles.s3.eu-west-1.amazonaws.com/Modern_Interiors_v41.3.4/1_Interiors/16x16/Theme_Sorter_Singles/12_Kitchen_Singles/Kitchen_Singles_352.png")</f>
        <v/>
      </c>
    </row>
    <row r="351" ht="36.0" customHeight="1">
      <c r="A351" s="16" t="s">
        <v>2546</v>
      </c>
      <c r="B351" s="16" t="str">
        <f>IMAGE("https://lmztiles.s3.eu-west-1.amazonaws.com/Modern_Interiors_v41.3.4/1_Interiors/16x16/Theme_Sorter_Singles/12_Kitchen_Singles/Kitchen_Singles_353.png")</f>
        <v/>
      </c>
    </row>
    <row r="352" ht="36.0" customHeight="1">
      <c r="A352" s="16" t="s">
        <v>2547</v>
      </c>
      <c r="B352" s="16" t="str">
        <f>IMAGE("https://lmztiles.s3.eu-west-1.amazonaws.com/Modern_Interiors_v41.3.4/1_Interiors/16x16/Theme_Sorter_Singles/12_Kitchen_Singles/Kitchen_Singles_354.png")</f>
        <v/>
      </c>
    </row>
    <row r="353" ht="36.0" customHeight="1">
      <c r="A353" s="16" t="s">
        <v>2548</v>
      </c>
      <c r="B353" s="16" t="str">
        <f>IMAGE("https://lmztiles.s3.eu-west-1.amazonaws.com/Modern_Interiors_v41.3.4/1_Interiors/16x16/Theme_Sorter_Singles/12_Kitchen_Singles/Kitchen_Singles_355.png")</f>
        <v/>
      </c>
    </row>
    <row r="354" ht="36.0" customHeight="1">
      <c r="A354" s="16" t="s">
        <v>2549</v>
      </c>
      <c r="B354" s="16" t="str">
        <f>IMAGE("https://lmztiles.s3.eu-west-1.amazonaws.com/Modern_Interiors_v41.3.4/1_Interiors/16x16/Theme_Sorter_Singles/12_Kitchen_Singles/Kitchen_Singles_356.png")</f>
        <v/>
      </c>
    </row>
    <row r="355" ht="36.0" customHeight="1">
      <c r="A355" s="16" t="s">
        <v>2550</v>
      </c>
      <c r="B355" s="16" t="str">
        <f>IMAGE("https://lmztiles.s3.eu-west-1.amazonaws.com/Modern_Interiors_v41.3.4/1_Interiors/16x16/Theme_Sorter_Singles/12_Kitchen_Singles/Kitchen_Singles_357.png")</f>
        <v/>
      </c>
    </row>
    <row r="356" ht="36.0" customHeight="1">
      <c r="A356" s="16" t="s">
        <v>2551</v>
      </c>
      <c r="B356" s="16" t="str">
        <f>IMAGE("https://lmztiles.s3.eu-west-1.amazonaws.com/Modern_Interiors_v41.3.4/1_Interiors/16x16/Theme_Sorter_Singles/12_Kitchen_Singles/Kitchen_Singles_358.png")</f>
        <v/>
      </c>
    </row>
    <row r="357" ht="36.0" customHeight="1">
      <c r="A357" s="16" t="s">
        <v>2552</v>
      </c>
      <c r="B357" s="16" t="str">
        <f>IMAGE("https://lmztiles.s3.eu-west-1.amazonaws.com/Modern_Interiors_v41.3.4/1_Interiors/16x16/Theme_Sorter_Singles/12_Kitchen_Singles/Kitchen_Singles_359.png")</f>
        <v/>
      </c>
    </row>
    <row r="358" ht="36.0" customHeight="1">
      <c r="A358" s="16" t="s">
        <v>2553</v>
      </c>
      <c r="B358" s="16" t="str">
        <f>IMAGE("https://lmztiles.s3.eu-west-1.amazonaws.com/Modern_Interiors_v41.3.4/1_Interiors/16x16/Theme_Sorter_Singles/12_Kitchen_Singles/Kitchen_Singles_360.png")</f>
        <v/>
      </c>
    </row>
    <row r="359" ht="36.0" customHeight="1">
      <c r="A359" s="16" t="s">
        <v>2554</v>
      </c>
      <c r="B359" s="16" t="str">
        <f>IMAGE("https://lmztiles.s3.eu-west-1.amazonaws.com/Modern_Interiors_v41.3.4/1_Interiors/16x16/Theme_Sorter_Singles/12_Kitchen_Singles/Kitchen_Singles_361.png")</f>
        <v/>
      </c>
    </row>
    <row r="360" ht="36.0" customHeight="1">
      <c r="A360" s="16" t="s">
        <v>2555</v>
      </c>
      <c r="B360" s="16" t="str">
        <f>IMAGE("https://lmztiles.s3.eu-west-1.amazonaws.com/Modern_Interiors_v41.3.4/1_Interiors/16x16/Theme_Sorter_Singles/12_Kitchen_Singles/Kitchen_Singles_362.png")</f>
        <v/>
      </c>
    </row>
    <row r="361" ht="36.0" customHeight="1">
      <c r="A361" s="16" t="s">
        <v>2556</v>
      </c>
      <c r="B361" s="16" t="str">
        <f>IMAGE("https://lmztiles.s3.eu-west-1.amazonaws.com/Modern_Interiors_v41.3.4/1_Interiors/16x16/Theme_Sorter_Singles/12_Kitchen_Singles/Kitchen_Singles_363.png")</f>
        <v/>
      </c>
    </row>
    <row r="362" ht="36.0" customHeight="1">
      <c r="A362" s="16" t="s">
        <v>2557</v>
      </c>
      <c r="B362" s="16" t="str">
        <f>IMAGE("https://lmztiles.s3.eu-west-1.amazonaws.com/Modern_Interiors_v41.3.4/1_Interiors/16x16/Theme_Sorter_Singles/12_Kitchen_Singles/Kitchen_Singles_364.png")</f>
        <v/>
      </c>
    </row>
    <row r="363" ht="36.0" customHeight="1">
      <c r="A363" s="16" t="s">
        <v>2558</v>
      </c>
      <c r="B363" s="16" t="str">
        <f>IMAGE("https://lmztiles.s3.eu-west-1.amazonaws.com/Modern_Interiors_v41.3.4/1_Interiors/16x16/Theme_Sorter_Singles/12_Kitchen_Singles/Kitchen_Singles_365.png")</f>
        <v/>
      </c>
    </row>
    <row r="364" ht="36.0" customHeight="1">
      <c r="A364" s="16" t="s">
        <v>2559</v>
      </c>
      <c r="B364" s="16" t="str">
        <f>IMAGE("https://lmztiles.s3.eu-west-1.amazonaws.com/Modern_Interiors_v41.3.4/1_Interiors/16x16/Theme_Sorter_Singles/12_Kitchen_Singles/Kitchen_Singles_366.png")</f>
        <v/>
      </c>
    </row>
    <row r="365" ht="36.0" customHeight="1">
      <c r="A365" s="16" t="s">
        <v>2560</v>
      </c>
      <c r="B365" s="16" t="str">
        <f>IMAGE("https://lmztiles.s3.eu-west-1.amazonaws.com/Modern_Interiors_v41.3.4/1_Interiors/16x16/Theme_Sorter_Singles/12_Kitchen_Singles/Kitchen_Singles_367.png")</f>
        <v/>
      </c>
    </row>
    <row r="366" ht="36.0" customHeight="1">
      <c r="A366" s="16" t="s">
        <v>2561</v>
      </c>
      <c r="B366" s="16" t="str">
        <f>IMAGE("https://lmztiles.s3.eu-west-1.amazonaws.com/Modern_Interiors_v41.3.4/1_Interiors/16x16/Theme_Sorter_Singles/12_Kitchen_Singles/Kitchen_Singles_368.png")</f>
        <v/>
      </c>
    </row>
    <row r="367" ht="36.0" customHeight="1">
      <c r="A367" s="16" t="s">
        <v>2562</v>
      </c>
      <c r="B367" s="16" t="str">
        <f>IMAGE("https://lmztiles.s3.eu-west-1.amazonaws.com/Modern_Interiors_v41.3.4/1_Interiors/16x16/Theme_Sorter_Singles/12_Kitchen_Singles/Kitchen_Singles_369.png")</f>
        <v/>
      </c>
    </row>
    <row r="368" ht="36.0" customHeight="1">
      <c r="A368" s="16" t="s">
        <v>2563</v>
      </c>
      <c r="B368" s="16" t="str">
        <f>IMAGE("https://lmztiles.s3.eu-west-1.amazonaws.com/Modern_Interiors_v41.3.4/1_Interiors/16x16/Theme_Sorter_Singles/12_Kitchen_Singles/Kitchen_Singles_370.png")</f>
        <v/>
      </c>
    </row>
    <row r="369" ht="36.0" customHeight="1">
      <c r="A369" s="16" t="s">
        <v>2564</v>
      </c>
      <c r="B369" s="16" t="str">
        <f>IMAGE("https://lmztiles.s3.eu-west-1.amazonaws.com/Modern_Interiors_v41.3.4/1_Interiors/16x16/Theme_Sorter_Singles/12_Kitchen_Singles/Kitchen_Singles_371.png")</f>
        <v/>
      </c>
    </row>
    <row r="370" ht="36.0" customHeight="1">
      <c r="A370" s="16" t="s">
        <v>2565</v>
      </c>
      <c r="B370" s="16" t="str">
        <f>IMAGE("https://lmztiles.s3.eu-west-1.amazonaws.com/Modern_Interiors_v41.3.4/1_Interiors/16x16/Theme_Sorter_Singles/12_Kitchen_Singles/Kitchen_Singles_372.png")</f>
        <v/>
      </c>
    </row>
    <row r="371" ht="36.0" customHeight="1">
      <c r="A371" s="16" t="s">
        <v>2566</v>
      </c>
      <c r="B371" s="16" t="str">
        <f>IMAGE("https://lmztiles.s3.eu-west-1.amazonaws.com/Modern_Interiors_v41.3.4/1_Interiors/16x16/Theme_Sorter_Singles/12_Kitchen_Singles/Kitchen_Singles_373.png")</f>
        <v/>
      </c>
    </row>
    <row r="372" ht="36.0" customHeight="1">
      <c r="A372" s="16" t="s">
        <v>2567</v>
      </c>
      <c r="B372" s="16" t="str">
        <f>IMAGE("https://lmztiles.s3.eu-west-1.amazonaws.com/Modern_Interiors_v41.3.4/1_Interiors/16x16/Theme_Sorter_Singles/12_Kitchen_Singles/Kitchen_Singles_374.png")</f>
        <v/>
      </c>
    </row>
    <row r="373" ht="36.0" customHeight="1">
      <c r="A373" s="16" t="s">
        <v>2568</v>
      </c>
      <c r="B373" s="16" t="str">
        <f>IMAGE("https://lmztiles.s3.eu-west-1.amazonaws.com/Modern_Interiors_v41.3.4/1_Interiors/16x16/Theme_Sorter_Singles/12_Kitchen_Singles/Kitchen_Singles_375.png")</f>
        <v/>
      </c>
    </row>
    <row r="374" ht="36.0" customHeight="1">
      <c r="A374" s="16" t="s">
        <v>2569</v>
      </c>
      <c r="B374" s="16" t="str">
        <f>IMAGE("https://lmztiles.s3.eu-west-1.amazonaws.com/Modern_Interiors_v41.3.4/1_Interiors/16x16/Theme_Sorter_Singles/12_Kitchen_Singles/Kitchen_Singles_376.png")</f>
        <v/>
      </c>
    </row>
    <row r="375" ht="36.0" customHeight="1">
      <c r="A375" s="16" t="s">
        <v>2570</v>
      </c>
      <c r="B375" s="16" t="str">
        <f>IMAGE("https://lmztiles.s3.eu-west-1.amazonaws.com/Modern_Interiors_v41.3.4/1_Interiors/16x16/Theme_Sorter_Singles/12_Kitchen_Singles/Kitchen_Singles_377.png")</f>
        <v/>
      </c>
    </row>
    <row r="376" ht="36.0" customHeight="1">
      <c r="A376" s="16" t="s">
        <v>2571</v>
      </c>
      <c r="B376" s="16" t="str">
        <f>IMAGE("https://lmztiles.s3.eu-west-1.amazonaws.com/Modern_Interiors_v41.3.4/1_Interiors/16x16/Theme_Sorter_Singles/12_Kitchen_Singles/Kitchen_Singles_378.png")</f>
        <v/>
      </c>
    </row>
    <row r="377" ht="36.0" customHeight="1">
      <c r="A377" s="16" t="s">
        <v>2572</v>
      </c>
      <c r="B377" s="16" t="str">
        <f>IMAGE("https://lmztiles.s3.eu-west-1.amazonaws.com/Modern_Interiors_v41.3.4/1_Interiors/16x16/Theme_Sorter_Singles/12_Kitchen_Singles/Kitchen_Singles_379.png")</f>
        <v/>
      </c>
    </row>
    <row r="378" ht="36.0" customHeight="1">
      <c r="A378" s="16" t="s">
        <v>2573</v>
      </c>
      <c r="B378" s="16" t="str">
        <f>IMAGE("https://lmztiles.s3.eu-west-1.amazonaws.com/Modern_Interiors_v41.3.4/1_Interiors/16x16/Theme_Sorter_Singles/12_Kitchen_Singles/Kitchen_Singles_380.png")</f>
        <v/>
      </c>
    </row>
    <row r="379" ht="36.0" customHeight="1">
      <c r="A379" s="16" t="s">
        <v>2574</v>
      </c>
      <c r="B379" s="16" t="str">
        <f>IMAGE("https://lmztiles.s3.eu-west-1.amazonaws.com/Modern_Interiors_v41.3.4/1_Interiors/16x16/Theme_Sorter_Singles/12_Kitchen_Singles/Kitchen_Singles_381.png")</f>
        <v/>
      </c>
    </row>
    <row r="380" ht="36.0" customHeight="1">
      <c r="A380" s="16" t="s">
        <v>2575</v>
      </c>
      <c r="B380" s="16" t="str">
        <f>IMAGE("https://lmztiles.s3.eu-west-1.amazonaws.com/Modern_Interiors_v41.3.4/1_Interiors/16x16/Theme_Sorter_Singles/12_Kitchen_Singles/Kitchen_Singles_382.png")</f>
        <v/>
      </c>
    </row>
    <row r="381" ht="36.0" customHeight="1">
      <c r="A381" s="16" t="s">
        <v>2576</v>
      </c>
      <c r="B381" s="16" t="str">
        <f>IMAGE("https://lmztiles.s3.eu-west-1.amazonaws.com/Modern_Interiors_v41.3.4/1_Interiors/16x16/Theme_Sorter_Singles/12_Kitchen_Singles/Kitchen_Singles_383.png")</f>
        <v/>
      </c>
    </row>
    <row r="382" ht="36.0" customHeight="1">
      <c r="A382" s="16" t="s">
        <v>2577</v>
      </c>
      <c r="B382" s="16" t="str">
        <f>IMAGE("https://lmztiles.s3.eu-west-1.amazonaws.com/Modern_Interiors_v41.3.4/1_Interiors/16x16/Theme_Sorter_Singles/12_Kitchen_Singles/Kitchen_Singles_384.png")</f>
        <v/>
      </c>
    </row>
    <row r="383" ht="36.0" customHeight="1">
      <c r="A383" s="16" t="s">
        <v>2578</v>
      </c>
      <c r="B383" s="16" t="str">
        <f>IMAGE("https://lmztiles.s3.eu-west-1.amazonaws.com/Modern_Interiors_v41.3.4/1_Interiors/16x16/Theme_Sorter_Singles/12_Kitchen_Singles/Kitchen_Singles_385.png")</f>
        <v/>
      </c>
    </row>
    <row r="384" ht="36.0" customHeight="1">
      <c r="A384" s="16" t="s">
        <v>2579</v>
      </c>
      <c r="B384" s="16" t="str">
        <f>IMAGE("https://lmztiles.s3.eu-west-1.amazonaws.com/Modern_Interiors_v41.3.4/1_Interiors/16x16/Theme_Sorter_Singles/12_Kitchen_Singles/Kitchen_Singles_386.png")</f>
        <v/>
      </c>
    </row>
    <row r="385" ht="36.0" customHeight="1">
      <c r="A385" s="16" t="s">
        <v>2580</v>
      </c>
      <c r="B385" s="16" t="str">
        <f>IMAGE("https://lmztiles.s3.eu-west-1.amazonaws.com/Modern_Interiors_v41.3.4/1_Interiors/16x16/Theme_Sorter_Singles/12_Kitchen_Singles/Kitchen_Singles_387.png")</f>
        <v/>
      </c>
    </row>
    <row r="386" ht="36.0" customHeight="1">
      <c r="A386" s="16" t="s">
        <v>2581</v>
      </c>
      <c r="B386" s="16" t="str">
        <f>IMAGE("https://lmztiles.s3.eu-west-1.amazonaws.com/Modern_Interiors_v41.3.4/1_Interiors/16x16/Theme_Sorter_Singles/12_Kitchen_Singles/Kitchen_Singles_388.png")</f>
        <v/>
      </c>
    </row>
    <row r="387" ht="36.0" customHeight="1">
      <c r="A387" s="16" t="s">
        <v>2582</v>
      </c>
      <c r="B387" s="16" t="str">
        <f>IMAGE("https://lmztiles.s3.eu-west-1.amazonaws.com/Modern_Interiors_v41.3.4/1_Interiors/16x16/Theme_Sorter_Singles/12_Kitchen_Singles/Kitchen_Singles_389.png")</f>
        <v/>
      </c>
    </row>
    <row r="388" ht="36.0" customHeight="1">
      <c r="A388" s="16" t="s">
        <v>2583</v>
      </c>
      <c r="B388" s="16" t="str">
        <f>IMAGE("https://lmztiles.s3.eu-west-1.amazonaws.com/Modern_Interiors_v41.3.4/1_Interiors/16x16/Theme_Sorter_Singles/12_Kitchen_Singles/Kitchen_Singles_390.png")</f>
        <v/>
      </c>
    </row>
    <row r="389" ht="36.0" customHeight="1">
      <c r="A389" s="16" t="s">
        <v>2584</v>
      </c>
      <c r="B389" s="16" t="str">
        <f>IMAGE("https://lmztiles.s3.eu-west-1.amazonaws.com/Modern_Interiors_v41.3.4/1_Interiors/16x16/Theme_Sorter_Singles/12_Kitchen_Singles/Kitchen_Singles_391.png")</f>
        <v/>
      </c>
    </row>
    <row r="390" ht="36.0" customHeight="1">
      <c r="A390" s="16" t="s">
        <v>2585</v>
      </c>
      <c r="B390" s="16" t="str">
        <f>IMAGE("https://lmztiles.s3.eu-west-1.amazonaws.com/Modern_Interiors_v41.3.4/1_Interiors/16x16/Theme_Sorter_Singles/12_Kitchen_Singles/Kitchen_Singles_392.png")</f>
        <v/>
      </c>
    </row>
    <row r="391" ht="36.0" customHeight="1">
      <c r="A391" s="16" t="s">
        <v>2586</v>
      </c>
      <c r="B391" s="16" t="str">
        <f>IMAGE("https://lmztiles.s3.eu-west-1.amazonaws.com/Modern_Interiors_v41.3.4/1_Interiors/16x16/Theme_Sorter_Singles/12_Kitchen_Singles/Kitchen_Singles_393.png")</f>
        <v/>
      </c>
    </row>
    <row r="392" ht="36.0" customHeight="1">
      <c r="A392" s="16" t="s">
        <v>2587</v>
      </c>
      <c r="B392" s="16" t="str">
        <f>IMAGE("https://lmztiles.s3.eu-west-1.amazonaws.com/Modern_Interiors_v41.3.4/1_Interiors/16x16/Theme_Sorter_Singles/12_Kitchen_Singles/Kitchen_Singles_394.png")</f>
        <v/>
      </c>
    </row>
    <row r="393" ht="36.0" customHeight="1">
      <c r="A393" s="16" t="s">
        <v>2588</v>
      </c>
      <c r="B393" s="16" t="str">
        <f>IMAGE("https://lmztiles.s3.eu-west-1.amazonaws.com/Modern_Interiors_v41.3.4/1_Interiors/16x16/Theme_Sorter_Singles/12_Kitchen_Singles/Kitchen_Singles_395.png")</f>
        <v/>
      </c>
    </row>
    <row r="394" ht="36.0" customHeight="1">
      <c r="A394" s="16" t="s">
        <v>2589</v>
      </c>
      <c r="B394" s="16" t="str">
        <f>IMAGE("https://lmztiles.s3.eu-west-1.amazonaws.com/Modern_Interiors_v41.3.4/1_Interiors/16x16/Theme_Sorter_Singles/12_Kitchen_Singles/Kitchen_Singles_396.png")</f>
        <v/>
      </c>
    </row>
    <row r="395" ht="36.0" customHeight="1">
      <c r="A395" s="16" t="s">
        <v>2590</v>
      </c>
      <c r="B395" s="16" t="str">
        <f>IMAGE("https://lmztiles.s3.eu-west-1.amazonaws.com/Modern_Interiors_v41.3.4/1_Interiors/16x16/Theme_Sorter_Singles/12_Kitchen_Singles/Kitchen_Singles_397.png")</f>
        <v/>
      </c>
    </row>
    <row r="396" ht="36.0" customHeight="1">
      <c r="A396" s="16" t="s">
        <v>2591</v>
      </c>
      <c r="B396" s="16" t="str">
        <f>IMAGE("https://lmztiles.s3.eu-west-1.amazonaws.com/Modern_Interiors_v41.3.4/1_Interiors/16x16/Theme_Sorter_Singles/12_Kitchen_Singles/Kitchen_Singles_398.png")</f>
        <v/>
      </c>
    </row>
    <row r="397" ht="36.0" customHeight="1">
      <c r="A397" s="16" t="s">
        <v>2592</v>
      </c>
      <c r="B397" s="16" t="str">
        <f>IMAGE("https://lmztiles.s3.eu-west-1.amazonaws.com/Modern_Interiors_v41.3.4/1_Interiors/16x16/Theme_Sorter_Singles/12_Kitchen_Singles/Kitchen_Singles_399.png")</f>
        <v/>
      </c>
    </row>
    <row r="398" ht="36.0" customHeight="1">
      <c r="A398" s="16" t="s">
        <v>2593</v>
      </c>
      <c r="B398" s="16" t="str">
        <f>IMAGE("https://lmztiles.s3.eu-west-1.amazonaws.com/Modern_Interiors_v41.3.4/1_Interiors/16x16/Theme_Sorter_Singles/12_Kitchen_Singles/Kitchen_Singles_400.png")</f>
        <v/>
      </c>
    </row>
    <row r="399" ht="36.0" customHeight="1">
      <c r="A399" s="16" t="s">
        <v>2594</v>
      </c>
      <c r="B399" s="16" t="str">
        <f>IMAGE("https://lmztiles.s3.eu-west-1.amazonaws.com/Modern_Interiors_v41.3.4/1_Interiors/16x16/Theme_Sorter_Singles/12_Kitchen_Singles/Kitchen_Singles_401.png")</f>
        <v/>
      </c>
    </row>
    <row r="400" ht="36.0" customHeight="1">
      <c r="A400" s="16" t="s">
        <v>2595</v>
      </c>
      <c r="B400" s="16" t="str">
        <f>IMAGE("https://lmztiles.s3.eu-west-1.amazonaws.com/Modern_Interiors_v41.3.4/1_Interiors/16x16/Theme_Sorter_Singles/12_Kitchen_Singles/Kitchen_Singles_402.png")</f>
        <v/>
      </c>
    </row>
    <row r="401" ht="36.0" customHeight="1">
      <c r="A401" s="16" t="s">
        <v>2596</v>
      </c>
      <c r="B401" s="16" t="str">
        <f>IMAGE("https://lmztiles.s3.eu-west-1.amazonaws.com/Modern_Interiors_v41.3.4/1_Interiors/16x16/Theme_Sorter_Singles/12_Kitchen_Singles/Kitchen_Singles_403.png")</f>
        <v/>
      </c>
    </row>
    <row r="402" ht="36.0" customHeight="1">
      <c r="A402" s="16" t="s">
        <v>2597</v>
      </c>
      <c r="B402" s="16" t="str">
        <f>IMAGE("https://lmztiles.s3.eu-west-1.amazonaws.com/Modern_Interiors_v41.3.4/1_Interiors/16x16/Theme_Sorter_Singles/12_Kitchen_Singles/Kitchen_Singles_404.png")</f>
        <v/>
      </c>
    </row>
    <row r="403" ht="36.0" customHeight="1">
      <c r="A403" s="16" t="s">
        <v>2598</v>
      </c>
      <c r="B403" s="16" t="str">
        <f>IMAGE("https://lmztiles.s3.eu-west-1.amazonaws.com/Modern_Interiors_v41.3.4/1_Interiors/16x16/Theme_Sorter_Singles/12_Kitchen_Singles/Kitchen_Singles_405.png")</f>
        <v/>
      </c>
    </row>
    <row r="404" ht="36.0" customHeight="1">
      <c r="A404" s="16" t="s">
        <v>2599</v>
      </c>
      <c r="B404" s="16" t="str">
        <f>IMAGE("https://lmztiles.s3.eu-west-1.amazonaws.com/Modern_Interiors_v41.3.4/1_Interiors/16x16/Theme_Sorter_Singles/12_Kitchen_Singles/Kitchen_Singles_406.png")</f>
        <v/>
      </c>
    </row>
    <row r="405" ht="36.0" customHeight="1">
      <c r="A405" s="16" t="s">
        <v>2600</v>
      </c>
      <c r="B405" s="16" t="str">
        <f>IMAGE("https://lmztiles.s3.eu-west-1.amazonaws.com/Modern_Interiors_v41.3.4/1_Interiors/16x16/Theme_Sorter_Singles/12_Kitchen_Singles/Kitchen_Singles_407.png")</f>
        <v/>
      </c>
    </row>
    <row r="406" ht="36.0" customHeight="1">
      <c r="A406" s="16" t="s">
        <v>2601</v>
      </c>
      <c r="B406" s="16" t="str">
        <f>IMAGE("https://lmztiles.s3.eu-west-1.amazonaws.com/Modern_Interiors_v41.3.4/1_Interiors/16x16/Theme_Sorter_Singles/12_Kitchen_Singles/Kitchen_Singles_408.png")</f>
        <v/>
      </c>
    </row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71"/>
    <col customWidth="1" min="3" max="3" width="82.57"/>
  </cols>
  <sheetData>
    <row r="1" ht="37.5" customHeight="1">
      <c r="A1" s="16" t="s">
        <v>2602</v>
      </c>
      <c r="B1" s="16" t="str">
        <f>IMAGE("https://lmztiles.s3.eu-west-1.amazonaws.com/Modern_Interiors_v41.3.4/1_Interiors/16x16/Theme_Sorter_Singles/13_Conference_Hall_Singles/Conference_Hall_Singles_1.png")</f>
        <v/>
      </c>
    </row>
    <row r="2" ht="37.5" customHeight="1">
      <c r="A2" s="16" t="s">
        <v>2603</v>
      </c>
      <c r="B2" s="16" t="str">
        <f>IMAGE("https://lmztiles.s3.eu-west-1.amazonaws.com/Modern_Interiors_v41.3.4/1_Interiors/16x16/Theme_Sorter_Singles/13_Conference_Hall_Singles/Conference_Hall_Singles_2.png")</f>
        <v/>
      </c>
    </row>
    <row r="3" ht="37.5" customHeight="1">
      <c r="A3" s="16" t="s">
        <v>2604</v>
      </c>
      <c r="B3" s="16" t="str">
        <f>IMAGE("https://lmztiles.s3.eu-west-1.amazonaws.com/Modern_Interiors_v41.3.4/1_Interiors/16x16/Theme_Sorter_Singles/13_Conference_Hall_Singles/Conference_Hall_Singles_3.png")</f>
        <v/>
      </c>
    </row>
    <row r="4" ht="37.5" customHeight="1">
      <c r="A4" s="16" t="s">
        <v>2605</v>
      </c>
      <c r="B4" s="16" t="str">
        <f>IMAGE("https://lmztiles.s3.eu-west-1.amazonaws.com/Modern_Interiors_v41.3.4/1_Interiors/16x16/Theme_Sorter_Singles/13_Conference_Hall_Singles/Conference_Hall_Singles_4.png")</f>
        <v/>
      </c>
    </row>
    <row r="5" ht="37.5" customHeight="1">
      <c r="A5" s="16" t="s">
        <v>2606</v>
      </c>
      <c r="B5" s="16" t="str">
        <f>IMAGE("https://lmztiles.s3.eu-west-1.amazonaws.com/Modern_Interiors_v41.3.4/1_Interiors/16x16/Theme_Sorter_Singles/13_Conference_Hall_Singles/Conference_Hall_Singles_5.png")</f>
        <v/>
      </c>
    </row>
    <row r="6" ht="37.5" customHeight="1">
      <c r="A6" s="16" t="s">
        <v>2607</v>
      </c>
      <c r="B6" s="16" t="str">
        <f>IMAGE("https://lmztiles.s3.eu-west-1.amazonaws.com/Modern_Interiors_v41.3.4/1_Interiors/16x16/Theme_Sorter_Singles/13_Conference_Hall_Singles/Conference_Hall_Singles_6.png")</f>
        <v/>
      </c>
    </row>
    <row r="7" ht="37.5" customHeight="1">
      <c r="A7" s="16" t="s">
        <v>2608</v>
      </c>
      <c r="B7" s="16" t="str">
        <f>IMAGE("https://lmztiles.s3.eu-west-1.amazonaws.com/Modern_Interiors_v41.3.4/1_Interiors/16x16/Theme_Sorter_Singles/13_Conference_Hall_Singles/Conference_Hall_Singles_7.png")</f>
        <v/>
      </c>
    </row>
    <row r="8" ht="37.5" customHeight="1">
      <c r="A8" s="16" t="s">
        <v>2609</v>
      </c>
      <c r="B8" s="16" t="str">
        <f>IMAGE("https://lmztiles.s3.eu-west-1.amazonaws.com/Modern_Interiors_v41.3.4/1_Interiors/16x16/Theme_Sorter_Singles/13_Conference_Hall_Singles/Conference_Hall_Singles_8.png")</f>
        <v/>
      </c>
    </row>
    <row r="9" ht="37.5" customHeight="1">
      <c r="A9" s="16" t="s">
        <v>2610</v>
      </c>
      <c r="B9" s="16" t="str">
        <f>IMAGE("https://lmztiles.s3.eu-west-1.amazonaws.com/Modern_Interiors_v41.3.4/1_Interiors/16x16/Theme_Sorter_Singles/13_Conference_Hall_Singles/Conference_Hall_Singles_9.png")</f>
        <v/>
      </c>
    </row>
    <row r="10" ht="37.5" customHeight="1">
      <c r="A10" s="16" t="s">
        <v>2611</v>
      </c>
      <c r="B10" s="16" t="str">
        <f>IMAGE("https://lmztiles.s3.eu-west-1.amazonaws.com/Modern_Interiors_v41.3.4/1_Interiors/16x16/Theme_Sorter_Singles/13_Conference_Hall_Singles/Conference_Hall_Singles_10.png")</f>
        <v/>
      </c>
    </row>
    <row r="11" ht="37.5" customHeight="1">
      <c r="A11" s="16" t="s">
        <v>2612</v>
      </c>
      <c r="B11" s="16" t="str">
        <f>IMAGE("https://lmztiles.s3.eu-west-1.amazonaws.com/Modern_Interiors_v41.3.4/1_Interiors/16x16/Theme_Sorter_Singles/13_Conference_Hall_Singles/Conference_Hall_Singles_11.png")</f>
        <v/>
      </c>
    </row>
    <row r="12" ht="37.5" customHeight="1">
      <c r="A12" s="16" t="s">
        <v>2613</v>
      </c>
      <c r="B12" s="16" t="str">
        <f>IMAGE("https://lmztiles.s3.eu-west-1.amazonaws.com/Modern_Interiors_v41.3.4/1_Interiors/16x16/Theme_Sorter_Singles/13_Conference_Hall_Singles/Conference_Hall_Singles_12.png")</f>
        <v/>
      </c>
    </row>
    <row r="13" ht="37.5" customHeight="1">
      <c r="A13" s="16" t="s">
        <v>2614</v>
      </c>
      <c r="B13" s="16" t="str">
        <f>IMAGE("https://lmztiles.s3.eu-west-1.amazonaws.com/Modern_Interiors_v41.3.4/1_Interiors/16x16/Theme_Sorter_Singles/13_Conference_Hall_Singles/Conference_Hall_Singles_13.png")</f>
        <v/>
      </c>
    </row>
    <row r="14" ht="37.5" customHeight="1">
      <c r="A14" s="16" t="s">
        <v>2615</v>
      </c>
      <c r="B14" s="16" t="str">
        <f>IMAGE("https://lmztiles.s3.eu-west-1.amazonaws.com/Modern_Interiors_v41.3.4/1_Interiors/16x16/Theme_Sorter_Singles/13_Conference_Hall_Singles/Conference_Hall_Singles_14.png")</f>
        <v/>
      </c>
    </row>
    <row r="15" ht="37.5" customHeight="1">
      <c r="A15" s="16" t="s">
        <v>2616</v>
      </c>
      <c r="B15" s="16" t="str">
        <f>IMAGE("https://lmztiles.s3.eu-west-1.amazonaws.com/Modern_Interiors_v41.3.4/1_Interiors/16x16/Theme_Sorter_Singles/13_Conference_Hall_Singles/Conference_Hall_Singles_15.png")</f>
        <v/>
      </c>
    </row>
    <row r="16" ht="37.5" customHeight="1">
      <c r="A16" s="16" t="s">
        <v>2617</v>
      </c>
      <c r="B16" s="16" t="str">
        <f>IMAGE("https://lmztiles.s3.eu-west-1.amazonaws.com/Modern_Interiors_v41.3.4/1_Interiors/16x16/Theme_Sorter_Singles/13_Conference_Hall_Singles/Conference_Hall_Singles_16.png")</f>
        <v/>
      </c>
    </row>
    <row r="17" ht="37.5" customHeight="1">
      <c r="A17" s="16" t="s">
        <v>2618</v>
      </c>
      <c r="B17" s="16" t="str">
        <f>IMAGE("https://lmztiles.s3.eu-west-1.amazonaws.com/Modern_Interiors_v41.3.4/1_Interiors/16x16/Theme_Sorter_Singles/13_Conference_Hall_Singles/Conference_Hall_Singles_17.png")</f>
        <v/>
      </c>
    </row>
    <row r="18" ht="37.5" customHeight="1">
      <c r="A18" s="16" t="s">
        <v>2619</v>
      </c>
      <c r="B18" s="16" t="str">
        <f>IMAGE("https://lmztiles.s3.eu-west-1.amazonaws.com/Modern_Interiors_v41.3.4/1_Interiors/16x16/Theme_Sorter_Singles/13_Conference_Hall_Singles/Conference_Hall_Singles_18.png")</f>
        <v/>
      </c>
    </row>
    <row r="19" ht="37.5" customHeight="1">
      <c r="A19" s="16" t="s">
        <v>2620</v>
      </c>
      <c r="B19" s="16" t="str">
        <f>IMAGE("https://lmztiles.s3.eu-west-1.amazonaws.com/Modern_Interiors_v41.3.4/1_Interiors/16x16/Theme_Sorter_Singles/13_Conference_Hall_Singles/Conference_Hall_Singles_19.png")</f>
        <v/>
      </c>
    </row>
    <row r="20" ht="37.5" customHeight="1">
      <c r="A20" s="16" t="s">
        <v>2621</v>
      </c>
      <c r="B20" s="16" t="str">
        <f>IMAGE("https://lmztiles.s3.eu-west-1.amazonaws.com/Modern_Interiors_v41.3.4/1_Interiors/16x16/Theme_Sorter_Singles/13_Conference_Hall_Singles/Conference_Hall_Singles_20.png")</f>
        <v/>
      </c>
    </row>
    <row r="21" ht="37.5" customHeight="1">
      <c r="A21" s="16" t="s">
        <v>2622</v>
      </c>
      <c r="B21" s="16" t="str">
        <f>IMAGE("https://lmztiles.s3.eu-west-1.amazonaws.com/Modern_Interiors_v41.3.4/1_Interiors/16x16/Theme_Sorter_Singles/13_Conference_Hall_Singles/Conference_Hall_Singles_21.png")</f>
        <v/>
      </c>
    </row>
    <row r="22" ht="37.5" customHeight="1">
      <c r="A22" s="16" t="s">
        <v>2623</v>
      </c>
      <c r="B22" s="16" t="str">
        <f>IMAGE("https://lmztiles.s3.eu-west-1.amazonaws.com/Modern_Interiors_v41.3.4/1_Interiors/16x16/Theme_Sorter_Singles/13_Conference_Hall_Singles/Conference_Hall_Singles_22.png")</f>
        <v/>
      </c>
    </row>
    <row r="23" ht="37.5" customHeight="1">
      <c r="A23" s="16" t="s">
        <v>2624</v>
      </c>
      <c r="B23" s="16" t="str">
        <f>IMAGE("https://lmztiles.s3.eu-west-1.amazonaws.com/Modern_Interiors_v41.3.4/1_Interiors/16x16/Theme_Sorter_Singles/13_Conference_Hall_Singles/Conference_Hall_Singles_23.png")</f>
        <v/>
      </c>
    </row>
    <row r="24" ht="37.5" customHeight="1">
      <c r="A24" s="16" t="s">
        <v>2625</v>
      </c>
      <c r="B24" s="16" t="str">
        <f>IMAGE("https://lmztiles.s3.eu-west-1.amazonaws.com/Modern_Interiors_v41.3.4/1_Interiors/16x16/Theme_Sorter_Singles/13_Conference_Hall_Singles/Conference_Hall_Singles_24.png")</f>
        <v/>
      </c>
    </row>
    <row r="25" ht="37.5" customHeight="1">
      <c r="A25" s="16" t="s">
        <v>2626</v>
      </c>
      <c r="B25" s="16" t="str">
        <f>IMAGE("https://lmztiles.s3.eu-west-1.amazonaws.com/Modern_Interiors_v41.3.4/1_Interiors/16x16/Theme_Sorter_Singles/13_Conference_Hall_Singles/Conference_Hall_Singles_25.png")</f>
        <v/>
      </c>
    </row>
    <row r="26" ht="37.5" customHeight="1">
      <c r="A26" s="16" t="s">
        <v>2627</v>
      </c>
      <c r="B26" s="16" t="str">
        <f>IMAGE("https://lmztiles.s3.eu-west-1.amazonaws.com/Modern_Interiors_v41.3.4/1_Interiors/16x16/Theme_Sorter_Singles/13_Conference_Hall_Singles/Conference_Hall_Singles_26.png")</f>
        <v/>
      </c>
    </row>
    <row r="27" ht="37.5" customHeight="1">
      <c r="A27" s="16" t="s">
        <v>2628</v>
      </c>
      <c r="B27" s="16" t="str">
        <f>IMAGE("https://lmztiles.s3.eu-west-1.amazonaws.com/Modern_Interiors_v41.3.4/1_Interiors/16x16/Theme_Sorter_Singles/13_Conference_Hall_Singles/Conference_Hall_Singles_27.png")</f>
        <v/>
      </c>
    </row>
    <row r="28" ht="37.5" customHeight="1">
      <c r="A28" s="16" t="s">
        <v>2629</v>
      </c>
      <c r="B28" s="16" t="str">
        <f>IMAGE("https://lmztiles.s3.eu-west-1.amazonaws.com/Modern_Interiors_v41.3.4/1_Interiors/16x16/Theme_Sorter_Singles/13_Conference_Hall_Singles/Conference_Hall_Singles_28.png")</f>
        <v/>
      </c>
    </row>
    <row r="29" ht="37.5" customHeight="1">
      <c r="A29" s="16" t="s">
        <v>2630</v>
      </c>
      <c r="B29" s="16" t="str">
        <f>IMAGE("https://lmztiles.s3.eu-west-1.amazonaws.com/Modern_Interiors_v41.3.4/1_Interiors/16x16/Theme_Sorter_Singles/13_Conference_Hall_Singles/Conference_Hall_Singles_29.png")</f>
        <v/>
      </c>
    </row>
    <row r="30" ht="37.5" customHeight="1">
      <c r="A30" s="16" t="s">
        <v>2631</v>
      </c>
      <c r="B30" s="16" t="str">
        <f>IMAGE("https://lmztiles.s3.eu-west-1.amazonaws.com/Modern_Interiors_v41.3.4/1_Interiors/16x16/Theme_Sorter_Singles/13_Conference_Hall_Singles/Conference_Hall_Singles_30.png")</f>
        <v/>
      </c>
    </row>
    <row r="31" ht="37.5" customHeight="1">
      <c r="A31" s="16" t="s">
        <v>2632</v>
      </c>
      <c r="B31" s="16" t="str">
        <f>IMAGE("https://lmztiles.s3.eu-west-1.amazonaws.com/Modern_Interiors_v41.3.4/1_Interiors/16x16/Theme_Sorter_Singles/13_Conference_Hall_Singles/Conference_Hall_Singles_31.png")</f>
        <v/>
      </c>
    </row>
    <row r="32" ht="37.5" customHeight="1">
      <c r="A32" s="16" t="s">
        <v>2633</v>
      </c>
      <c r="B32" s="16" t="str">
        <f>IMAGE("https://lmztiles.s3.eu-west-1.amazonaws.com/Modern_Interiors_v41.3.4/1_Interiors/16x16/Theme_Sorter_Singles/13_Conference_Hall_Singles/Conference_Hall_Singles_32.png")</f>
        <v/>
      </c>
    </row>
    <row r="33" ht="37.5" customHeight="1">
      <c r="A33" s="16" t="s">
        <v>2634</v>
      </c>
      <c r="B33" s="16" t="str">
        <f>IMAGE("https://lmztiles.s3.eu-west-1.amazonaws.com/Modern_Interiors_v41.3.4/1_Interiors/16x16/Theme_Sorter_Singles/13_Conference_Hall_Singles/Conference_Hall_Singles_33.png")</f>
        <v/>
      </c>
    </row>
    <row r="34" ht="37.5" customHeight="1">
      <c r="A34" s="16" t="s">
        <v>2635</v>
      </c>
      <c r="B34" s="16" t="str">
        <f>IMAGE("https://lmztiles.s3.eu-west-1.amazonaws.com/Modern_Interiors_v41.3.4/1_Interiors/16x16/Theme_Sorter_Singles/13_Conference_Hall_Singles/Conference_Hall_Singles_34.png")</f>
        <v/>
      </c>
    </row>
    <row r="35" ht="37.5" customHeight="1">
      <c r="A35" s="16" t="s">
        <v>2636</v>
      </c>
      <c r="B35" s="16" t="str">
        <f>IMAGE("https://lmztiles.s3.eu-west-1.amazonaws.com/Modern_Interiors_v41.3.4/1_Interiors/16x16/Theme_Sorter_Singles/13_Conference_Hall_Singles/Conference_Hall_Singles_35.png")</f>
        <v/>
      </c>
    </row>
    <row r="36" ht="37.5" customHeight="1">
      <c r="A36" s="16" t="s">
        <v>2637</v>
      </c>
      <c r="B36" s="16" t="str">
        <f>IMAGE("https://lmztiles.s3.eu-west-1.amazonaws.com/Modern_Interiors_v41.3.4/1_Interiors/16x16/Theme_Sorter_Singles/13_Conference_Hall_Singles/Conference_Hall_Singles_36.png")</f>
        <v/>
      </c>
    </row>
    <row r="37" ht="37.5" customHeight="1">
      <c r="A37" s="16" t="s">
        <v>2638</v>
      </c>
      <c r="B37" s="16" t="str">
        <f>IMAGE("https://lmztiles.s3.eu-west-1.amazonaws.com/Modern_Interiors_v41.3.4/1_Interiors/16x16/Theme_Sorter_Singles/13_Conference_Hall_Singles/Conference_Hall_Singles_37.png")</f>
        <v/>
      </c>
    </row>
    <row r="38" ht="37.5" customHeight="1">
      <c r="A38" s="16" t="s">
        <v>2639</v>
      </c>
      <c r="B38" s="16" t="str">
        <f>IMAGE("https://lmztiles.s3.eu-west-1.amazonaws.com/Modern_Interiors_v41.3.4/1_Interiors/16x16/Theme_Sorter_Singles/13_Conference_Hall_Singles/Conference_Hall_Singles_38.png")</f>
        <v/>
      </c>
    </row>
    <row r="39" ht="37.5" customHeight="1">
      <c r="A39" s="16" t="s">
        <v>2640</v>
      </c>
      <c r="B39" s="16" t="str">
        <f>IMAGE("https://lmztiles.s3.eu-west-1.amazonaws.com/Modern_Interiors_v41.3.4/1_Interiors/16x16/Theme_Sorter_Singles/13_Conference_Hall_Singles/Conference_Hall_Singles_39.png")</f>
        <v/>
      </c>
    </row>
    <row r="40" ht="37.5" customHeight="1">
      <c r="A40" s="16" t="s">
        <v>2641</v>
      </c>
      <c r="B40" s="16" t="str">
        <f>IMAGE("https://lmztiles.s3.eu-west-1.amazonaws.com/Modern_Interiors_v41.3.4/1_Interiors/16x16/Theme_Sorter_Singles/13_Conference_Hall_Singles/Conference_Hall_Singles_40.png")</f>
        <v/>
      </c>
    </row>
    <row r="41" ht="37.5" customHeight="1">
      <c r="A41" s="16" t="s">
        <v>2642</v>
      </c>
      <c r="B41" s="16" t="str">
        <f>IMAGE("https://lmztiles.s3.eu-west-1.amazonaws.com/Modern_Interiors_v41.3.4/1_Interiors/16x16/Theme_Sorter_Singles/13_Conference_Hall_Singles/Conference_Hall_Singles_41.png")</f>
        <v/>
      </c>
    </row>
    <row r="42" ht="37.5" customHeight="1">
      <c r="A42" s="16" t="s">
        <v>2643</v>
      </c>
      <c r="B42" s="16" t="str">
        <f>IMAGE("https://lmztiles.s3.eu-west-1.amazonaws.com/Modern_Interiors_v41.3.4/1_Interiors/16x16/Theme_Sorter_Singles/13_Conference_Hall_Singles/Conference_Hall_Singles_42.png")</f>
        <v/>
      </c>
    </row>
    <row r="43" ht="37.5" customHeight="1">
      <c r="A43" s="16" t="s">
        <v>2644</v>
      </c>
      <c r="B43" s="16" t="str">
        <f>IMAGE("https://lmztiles.s3.eu-west-1.amazonaws.com/Modern_Interiors_v41.3.4/1_Interiors/16x16/Theme_Sorter_Singles/13_Conference_Hall_Singles/Conference_Hall_Singles_43.png")</f>
        <v/>
      </c>
    </row>
    <row r="44" ht="37.5" customHeight="1">
      <c r="A44" s="16" t="s">
        <v>2645</v>
      </c>
      <c r="B44" s="16" t="str">
        <f>IMAGE("https://lmztiles.s3.eu-west-1.amazonaws.com/Modern_Interiors_v41.3.4/1_Interiors/16x16/Theme_Sorter_Singles/13_Conference_Hall_Singles/Conference_Hall_Singles_44.png")</f>
        <v/>
      </c>
    </row>
    <row r="45" ht="37.5" customHeight="1">
      <c r="A45" s="16" t="s">
        <v>2646</v>
      </c>
      <c r="B45" s="16" t="str">
        <f>IMAGE("https://lmztiles.s3.eu-west-1.amazonaws.com/Modern_Interiors_v41.3.4/1_Interiors/16x16/Theme_Sorter_Singles/13_Conference_Hall_Singles/Conference_Hall_Singles_45.png")</f>
        <v/>
      </c>
    </row>
    <row r="46" ht="37.5" customHeight="1">
      <c r="A46" s="16" t="s">
        <v>2647</v>
      </c>
      <c r="B46" s="16" t="str">
        <f>IMAGE("https://lmztiles.s3.eu-west-1.amazonaws.com/Modern_Interiors_v41.3.4/1_Interiors/16x16/Theme_Sorter_Singles/13_Conference_Hall_Singles/Conference_Hall_Singles_46.png")</f>
        <v/>
      </c>
    </row>
    <row r="47" ht="37.5" customHeight="1">
      <c r="A47" s="16" t="s">
        <v>2648</v>
      </c>
      <c r="B47" s="16" t="str">
        <f>IMAGE("https://lmztiles.s3.eu-west-1.amazonaws.com/Modern_Interiors_v41.3.4/1_Interiors/16x16/Theme_Sorter_Singles/13_Conference_Hall_Singles/Conference_Hall_Singles_47.png")</f>
        <v/>
      </c>
    </row>
    <row r="48" ht="37.5" customHeight="1">
      <c r="A48" s="16" t="s">
        <v>2649</v>
      </c>
      <c r="B48" s="16" t="str">
        <f>IMAGE("https://lmztiles.s3.eu-west-1.amazonaws.com/Modern_Interiors_v41.3.4/1_Interiors/16x16/Theme_Sorter_Singles/13_Conference_Hall_Singles/Conference_Hall_Singles_48.png")</f>
        <v/>
      </c>
    </row>
    <row r="49" ht="37.5" customHeight="1">
      <c r="A49" s="16" t="s">
        <v>2650</v>
      </c>
      <c r="B49" s="16" t="str">
        <f>IMAGE("https://lmztiles.s3.eu-west-1.amazonaws.com/Modern_Interiors_v41.3.4/1_Interiors/16x16/Theme_Sorter_Singles/13_Conference_Hall_Singles/Conference_Hall_Singles_49.png")</f>
        <v/>
      </c>
    </row>
    <row r="50" ht="37.5" customHeight="1">
      <c r="A50" s="16" t="s">
        <v>2651</v>
      </c>
      <c r="B50" s="16" t="str">
        <f>IMAGE("https://lmztiles.s3.eu-west-1.amazonaws.com/Modern_Interiors_v41.3.4/1_Interiors/16x16/Theme_Sorter_Singles/13_Conference_Hall_Singles/Conference_Hall_Singles_50.png")</f>
        <v/>
      </c>
    </row>
    <row r="51" ht="37.5" customHeight="1">
      <c r="A51" s="16" t="s">
        <v>2652</v>
      </c>
      <c r="B51" s="16" t="str">
        <f>IMAGE("https://lmztiles.s3.eu-west-1.amazonaws.com/Modern_Interiors_v41.3.4/1_Interiors/16x16/Theme_Sorter_Singles/13_Conference_Hall_Singles/Conference_Hall_Singles_51.png")</f>
        <v/>
      </c>
    </row>
    <row r="52" ht="37.5" customHeight="1">
      <c r="A52" s="16" t="s">
        <v>2653</v>
      </c>
      <c r="B52" s="16" t="str">
        <f>IMAGE("https://lmztiles.s3.eu-west-1.amazonaws.com/Modern_Interiors_v41.3.4/1_Interiors/16x16/Theme_Sorter_Singles/13_Conference_Hall_Singles/Conference_Hall_Singles_52.png")</f>
        <v/>
      </c>
    </row>
    <row r="53" ht="37.5" customHeight="1">
      <c r="A53" s="16" t="s">
        <v>2654</v>
      </c>
      <c r="B53" s="16" t="str">
        <f>IMAGE("https://lmztiles.s3.eu-west-1.amazonaws.com/Modern_Interiors_v41.3.4/1_Interiors/16x16/Theme_Sorter_Singles/13_Conference_Hall_Singles/Conference_Hall_Singles_53.png")</f>
        <v/>
      </c>
    </row>
    <row r="54" ht="37.5" customHeight="1">
      <c r="A54" s="16" t="s">
        <v>2655</v>
      </c>
      <c r="B54" s="16" t="str">
        <f>IMAGE("https://lmztiles.s3.eu-west-1.amazonaws.com/Modern_Interiors_v41.3.4/1_Interiors/16x16/Theme_Sorter_Singles/13_Conference_Hall_Singles/Conference_Hall_Singles_54.png")</f>
        <v/>
      </c>
    </row>
    <row r="55" ht="37.5" customHeight="1">
      <c r="A55" s="16" t="s">
        <v>2656</v>
      </c>
      <c r="B55" s="16" t="str">
        <f>IMAGE("https://lmztiles.s3.eu-west-1.amazonaws.com/Modern_Interiors_v41.3.4/1_Interiors/16x16/Theme_Sorter_Singles/13_Conference_Hall_Singles/Conference_Hall_Singles_55.png")</f>
        <v/>
      </c>
    </row>
    <row r="56" ht="37.5" customHeight="1">
      <c r="A56" s="16" t="s">
        <v>2657</v>
      </c>
      <c r="B56" s="16" t="str">
        <f>IMAGE("https://lmztiles.s3.eu-west-1.amazonaws.com/Modern_Interiors_v41.3.4/1_Interiors/16x16/Theme_Sorter_Singles/13_Conference_Hall_Singles/Conference_Hall_Singles_56.png")</f>
        <v/>
      </c>
    </row>
    <row r="57" ht="37.5" customHeight="1">
      <c r="A57" s="16" t="s">
        <v>2658</v>
      </c>
      <c r="B57" s="16" t="str">
        <f>IMAGE("https://lmztiles.s3.eu-west-1.amazonaws.com/Modern_Interiors_v41.3.4/1_Interiors/16x16/Theme_Sorter_Singles/13_Conference_Hall_Singles/Conference_Hall_Singles_57.png")</f>
        <v/>
      </c>
    </row>
    <row r="58" ht="37.5" customHeight="1">
      <c r="A58" s="16" t="s">
        <v>2659</v>
      </c>
      <c r="B58" s="16" t="str">
        <f>IMAGE("https://lmztiles.s3.eu-west-1.amazonaws.com/Modern_Interiors_v41.3.4/1_Interiors/16x16/Theme_Sorter_Singles/13_Conference_Hall_Singles/Conference_Hall_Singles_58.png")</f>
        <v/>
      </c>
    </row>
    <row r="59" ht="37.5" customHeight="1">
      <c r="A59" s="16" t="s">
        <v>2660</v>
      </c>
      <c r="B59" s="16" t="str">
        <f>IMAGE("https://lmztiles.s3.eu-west-1.amazonaws.com/Modern_Interiors_v41.3.4/1_Interiors/16x16/Theme_Sorter_Singles/13_Conference_Hall_Singles/Conference_Hall_Singles_59.png")</f>
        <v/>
      </c>
    </row>
    <row r="60" ht="37.5" customHeight="1">
      <c r="A60" s="16" t="s">
        <v>2661</v>
      </c>
      <c r="B60" s="16" t="str">
        <f>IMAGE("https://lmztiles.s3.eu-west-1.amazonaws.com/Modern_Interiors_v41.3.4/1_Interiors/16x16/Theme_Sorter_Singles/13_Conference_Hall_Singles/Conference_Hall_Singles_60.png")</f>
        <v/>
      </c>
    </row>
    <row r="61" ht="37.5" customHeight="1">
      <c r="A61" s="16" t="s">
        <v>2662</v>
      </c>
      <c r="B61" s="16" t="str">
        <f>IMAGE("https://lmztiles.s3.eu-west-1.amazonaws.com/Modern_Interiors_v41.3.4/1_Interiors/16x16/Theme_Sorter_Singles/13_Conference_Hall_Singles/Conference_Hall_Singles_61.png")</f>
        <v/>
      </c>
    </row>
    <row r="62" ht="37.5" customHeight="1">
      <c r="A62" s="16" t="s">
        <v>2663</v>
      </c>
      <c r="B62" s="16" t="str">
        <f>IMAGE("https://lmztiles.s3.eu-west-1.amazonaws.com/Modern_Interiors_v41.3.4/1_Interiors/16x16/Theme_Sorter_Singles/13_Conference_Hall_Singles/Conference_Hall_Singles_62.png")</f>
        <v/>
      </c>
    </row>
    <row r="63" ht="37.5" customHeight="1">
      <c r="A63" s="16" t="s">
        <v>2664</v>
      </c>
      <c r="B63" s="16" t="str">
        <f>IMAGE("https://lmztiles.s3.eu-west-1.amazonaws.com/Modern_Interiors_v41.3.4/1_Interiors/16x16/Theme_Sorter_Singles/13_Conference_Hall_Singles/Conference_Hall_Singles_63.png")</f>
        <v/>
      </c>
    </row>
    <row r="64" ht="37.5" customHeight="1">
      <c r="A64" s="16" t="s">
        <v>2665</v>
      </c>
      <c r="B64" s="16" t="str">
        <f>IMAGE("https://lmztiles.s3.eu-west-1.amazonaws.com/Modern_Interiors_v41.3.4/1_Interiors/16x16/Theme_Sorter_Singles/13_Conference_Hall_Singles/Conference_Hall_Singles_64.png")</f>
        <v/>
      </c>
    </row>
    <row r="65" ht="37.5" customHeight="1">
      <c r="A65" s="16" t="s">
        <v>2666</v>
      </c>
      <c r="B65" s="16" t="str">
        <f>IMAGE("https://lmztiles.s3.eu-west-1.amazonaws.com/Modern_Interiors_v41.3.4/1_Interiors/16x16/Theme_Sorter_Singles/13_Conference_Hall_Singles/Conference_Hall_Singles_65.png")</f>
        <v/>
      </c>
    </row>
    <row r="66" ht="37.5" customHeight="1">
      <c r="A66" s="16" t="s">
        <v>2667</v>
      </c>
      <c r="B66" s="16" t="str">
        <f>IMAGE("https://lmztiles.s3.eu-west-1.amazonaws.com/Modern_Interiors_v41.3.4/1_Interiors/16x16/Theme_Sorter_Singles/13_Conference_Hall_Singles/Conference_Hall_Singles_66.png")</f>
        <v/>
      </c>
    </row>
    <row r="67" ht="37.5" customHeight="1">
      <c r="A67" s="16" t="s">
        <v>2668</v>
      </c>
      <c r="B67" s="16" t="str">
        <f>IMAGE("https://lmztiles.s3.eu-west-1.amazonaws.com/Modern_Interiors_v41.3.4/1_Interiors/16x16/Theme_Sorter_Singles/13_Conference_Hall_Singles/Conference_Hall_Singles_67.png")</f>
        <v/>
      </c>
    </row>
    <row r="68" ht="37.5" customHeight="1">
      <c r="A68" s="16" t="s">
        <v>2669</v>
      </c>
      <c r="B68" s="16" t="str">
        <f>IMAGE("https://lmztiles.s3.eu-west-1.amazonaws.com/Modern_Interiors_v41.3.4/1_Interiors/16x16/Theme_Sorter_Singles/13_Conference_Hall_Singles/Conference_Hall_Singles_68.png")</f>
        <v/>
      </c>
    </row>
    <row r="69" ht="37.5" customHeight="1"/>
    <row r="70" ht="37.5" customHeight="1"/>
    <row r="71" ht="37.5" customHeight="1"/>
    <row r="72" ht="37.5" customHeight="1"/>
    <row r="73" ht="37.5" customHeight="1"/>
    <row r="74" ht="37.5" customHeight="1"/>
    <row r="75" ht="37.5" customHeight="1"/>
    <row r="76" ht="37.5" customHeight="1"/>
    <row r="77" ht="37.5" customHeight="1"/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37.5" customHeight="1"/>
    <row r="230" ht="37.5" customHeight="1"/>
    <row r="231" ht="37.5" customHeight="1"/>
    <row r="232" ht="37.5" customHeight="1"/>
    <row r="233" ht="37.5" customHeight="1"/>
    <row r="234" ht="37.5" customHeight="1"/>
    <row r="235" ht="37.5" customHeight="1"/>
    <row r="236" ht="37.5" customHeight="1"/>
    <row r="237" ht="37.5" customHeight="1"/>
    <row r="238" ht="37.5" customHeight="1"/>
    <row r="239" ht="37.5" customHeight="1"/>
    <row r="240" ht="37.5" customHeight="1"/>
    <row r="241" ht="37.5" customHeight="1"/>
    <row r="242" ht="37.5" customHeight="1"/>
    <row r="243" ht="37.5" customHeight="1"/>
    <row r="244" ht="37.5" customHeight="1"/>
    <row r="245" ht="37.5" customHeight="1"/>
    <row r="246" ht="37.5" customHeight="1"/>
    <row r="247" ht="37.5" customHeight="1"/>
    <row r="248" ht="37.5" customHeight="1"/>
    <row r="249" ht="37.5" customHeight="1"/>
    <row r="250" ht="37.5" customHeight="1"/>
    <row r="251" ht="37.5" customHeight="1"/>
    <row r="252" ht="37.5" customHeight="1"/>
    <row r="253" ht="37.5" customHeight="1"/>
    <row r="254" ht="37.5" customHeight="1"/>
    <row r="255" ht="37.5" customHeight="1"/>
    <row r="256" ht="37.5" customHeight="1"/>
    <row r="257" ht="37.5" customHeight="1"/>
    <row r="258" ht="37.5" customHeight="1"/>
    <row r="259" ht="37.5" customHeight="1"/>
    <row r="260" ht="37.5" customHeight="1"/>
    <row r="261" ht="37.5" customHeight="1"/>
    <row r="262" ht="37.5" customHeight="1"/>
    <row r="263" ht="37.5" customHeight="1"/>
    <row r="264" ht="37.5" customHeight="1"/>
    <row r="265" ht="37.5" customHeight="1"/>
    <row r="266" ht="37.5" customHeight="1"/>
    <row r="267" ht="37.5" customHeight="1"/>
    <row r="268" ht="37.5" customHeight="1"/>
    <row r="269" ht="37.5" customHeight="1"/>
    <row r="270" ht="37.5" customHeight="1"/>
    <row r="271" ht="37.5" customHeight="1"/>
    <row r="272" ht="37.5" customHeight="1"/>
    <row r="273" ht="37.5" customHeight="1"/>
    <row r="274" ht="37.5" customHeight="1"/>
    <row r="275" ht="37.5" customHeight="1"/>
    <row r="276" ht="37.5" customHeight="1"/>
    <row r="277" ht="37.5" customHeight="1"/>
    <row r="278" ht="37.5" customHeight="1"/>
    <row r="279" ht="37.5" customHeight="1"/>
    <row r="280" ht="37.5" customHeight="1"/>
    <row r="281" ht="37.5" customHeight="1"/>
    <row r="282" ht="37.5" customHeight="1"/>
    <row r="283" ht="37.5" customHeight="1"/>
    <row r="284" ht="37.5" customHeight="1"/>
    <row r="285" ht="37.5" customHeight="1"/>
    <row r="286" ht="37.5" customHeight="1"/>
    <row r="287" ht="37.5" customHeight="1"/>
    <row r="288" ht="37.5" customHeight="1"/>
    <row r="289" ht="37.5" customHeight="1"/>
    <row r="290" ht="37.5" customHeight="1"/>
    <row r="291" ht="37.5" customHeight="1"/>
    <row r="292" ht="37.5" customHeight="1"/>
    <row r="293" ht="37.5" customHeight="1"/>
    <row r="294" ht="37.5" customHeight="1"/>
    <row r="295" ht="37.5" customHeight="1"/>
    <row r="296" ht="37.5" customHeight="1"/>
    <row r="297" ht="37.5" customHeight="1"/>
    <row r="298" ht="37.5" customHeight="1"/>
    <row r="299" ht="37.5" customHeight="1"/>
    <row r="300" ht="37.5" customHeight="1"/>
    <row r="301" ht="37.5" customHeight="1"/>
    <row r="302" ht="37.5" customHeight="1"/>
    <row r="303" ht="37.5" customHeight="1"/>
    <row r="304" ht="37.5" customHeight="1"/>
    <row r="305" ht="37.5" customHeight="1"/>
    <row r="306" ht="37.5" customHeight="1"/>
    <row r="307" ht="37.5" customHeight="1"/>
    <row r="308" ht="37.5" customHeight="1"/>
    <row r="309" ht="37.5" customHeight="1"/>
    <row r="310" ht="37.5" customHeight="1"/>
    <row r="311" ht="37.5" customHeight="1"/>
    <row r="312" ht="37.5" customHeight="1"/>
    <row r="313" ht="37.5" customHeight="1"/>
    <row r="314" ht="37.5" customHeight="1"/>
    <row r="315" ht="37.5" customHeight="1"/>
    <row r="316" ht="37.5" customHeight="1"/>
    <row r="317" ht="37.5" customHeight="1"/>
    <row r="318" ht="37.5" customHeight="1"/>
    <row r="319" ht="37.5" customHeight="1"/>
    <row r="320" ht="37.5" customHeight="1"/>
    <row r="321" ht="37.5" customHeight="1"/>
    <row r="322" ht="37.5" customHeight="1"/>
    <row r="323" ht="37.5" customHeight="1"/>
    <row r="324" ht="37.5" customHeight="1"/>
    <row r="325" ht="37.5" customHeight="1"/>
    <row r="326" ht="37.5" customHeight="1"/>
    <row r="327" ht="37.5" customHeight="1"/>
    <row r="328" ht="37.5" customHeight="1"/>
    <row r="329" ht="37.5" customHeight="1"/>
    <row r="330" ht="37.5" customHeight="1"/>
    <row r="331" ht="37.5" customHeight="1"/>
    <row r="332" ht="37.5" customHeight="1"/>
    <row r="333" ht="37.5" customHeight="1"/>
    <row r="334" ht="37.5" customHeight="1"/>
    <row r="335" ht="37.5" customHeight="1"/>
    <row r="336" ht="37.5" customHeight="1"/>
    <row r="337" ht="37.5" customHeight="1"/>
    <row r="338" ht="37.5" customHeight="1"/>
    <row r="339" ht="37.5" customHeight="1"/>
    <row r="340" ht="37.5" customHeight="1"/>
    <row r="341" ht="37.5" customHeight="1"/>
    <row r="342" ht="37.5" customHeight="1"/>
    <row r="343" ht="37.5" customHeight="1"/>
    <row r="344" ht="37.5" customHeight="1"/>
    <row r="345" ht="37.5" customHeight="1"/>
    <row r="346" ht="37.5" customHeight="1"/>
    <row r="347" ht="37.5" customHeight="1"/>
    <row r="348" ht="37.5" customHeight="1"/>
    <row r="349" ht="37.5" customHeight="1"/>
    <row r="350" ht="37.5" customHeight="1"/>
    <row r="351" ht="37.5" customHeight="1"/>
    <row r="352" ht="37.5" customHeight="1"/>
    <row r="353" ht="37.5" customHeight="1"/>
    <row r="354" ht="37.5" customHeight="1"/>
    <row r="355" ht="37.5" customHeight="1"/>
    <row r="356" ht="37.5" customHeight="1"/>
    <row r="357" ht="37.5" customHeight="1"/>
    <row r="358" ht="37.5" customHeight="1"/>
    <row r="359" ht="37.5" customHeight="1"/>
    <row r="360" ht="37.5" customHeight="1"/>
    <row r="361" ht="37.5" customHeight="1"/>
    <row r="362" ht="37.5" customHeight="1"/>
    <row r="363" ht="37.5" customHeight="1"/>
    <row r="364" ht="37.5" customHeight="1"/>
    <row r="365" ht="37.5" customHeight="1"/>
    <row r="366" ht="37.5" customHeight="1"/>
    <row r="367" ht="37.5" customHeight="1"/>
    <row r="368" ht="37.5" customHeight="1"/>
    <row r="369" ht="37.5" customHeight="1"/>
    <row r="370" ht="37.5" customHeight="1"/>
    <row r="371" ht="37.5" customHeight="1"/>
    <row r="372" ht="37.5" customHeight="1"/>
    <row r="373" ht="37.5" customHeight="1"/>
    <row r="374" ht="37.5" customHeight="1"/>
    <row r="375" ht="37.5" customHeight="1"/>
    <row r="376" ht="37.5" customHeight="1"/>
    <row r="377" ht="37.5" customHeight="1"/>
    <row r="378" ht="37.5" customHeight="1"/>
    <row r="379" ht="37.5" customHeight="1"/>
    <row r="380" ht="37.5" customHeight="1"/>
    <row r="381" ht="37.5" customHeight="1"/>
    <row r="382" ht="37.5" customHeight="1"/>
    <row r="383" ht="37.5" customHeight="1"/>
    <row r="384" ht="37.5" customHeight="1"/>
    <row r="385" ht="37.5" customHeight="1"/>
    <row r="386" ht="37.5" customHeight="1"/>
    <row r="387" ht="37.5" customHeight="1"/>
    <row r="388" ht="37.5" customHeight="1"/>
    <row r="389" ht="37.5" customHeight="1"/>
    <row r="390" ht="37.5" customHeight="1"/>
    <row r="391" ht="37.5" customHeight="1"/>
    <row r="392" ht="37.5" customHeight="1"/>
    <row r="393" ht="37.5" customHeight="1"/>
    <row r="394" ht="37.5" customHeight="1"/>
    <row r="395" ht="37.5" customHeight="1"/>
    <row r="396" ht="37.5" customHeight="1"/>
    <row r="397" ht="37.5" customHeight="1"/>
    <row r="398" ht="37.5" customHeight="1"/>
    <row r="399" ht="37.5" customHeight="1"/>
    <row r="400" ht="37.5" customHeight="1"/>
    <row r="401" ht="37.5" customHeight="1"/>
    <row r="402" ht="37.5" customHeight="1"/>
    <row r="403" ht="37.5" customHeight="1"/>
    <row r="404" ht="37.5" customHeight="1"/>
    <row r="405" ht="37.5" customHeight="1"/>
    <row r="406" ht="37.5" customHeight="1"/>
    <row r="407" ht="37.5" customHeight="1"/>
    <row r="408" ht="37.5" customHeight="1"/>
    <row r="409" ht="37.5" customHeight="1"/>
    <row r="410" ht="37.5" customHeight="1"/>
    <row r="411" ht="37.5" customHeight="1"/>
    <row r="412" ht="37.5" customHeight="1"/>
    <row r="413" ht="37.5" customHeight="1"/>
    <row r="414" ht="37.5" customHeight="1"/>
    <row r="415" ht="37.5" customHeight="1"/>
    <row r="416" ht="37.5" customHeight="1"/>
    <row r="417" ht="37.5" customHeight="1"/>
    <row r="418" ht="37.5" customHeight="1"/>
    <row r="419" ht="37.5" customHeight="1"/>
    <row r="420" ht="37.5" customHeight="1"/>
    <row r="421" ht="37.5" customHeight="1"/>
    <row r="422" ht="37.5" customHeight="1"/>
    <row r="423" ht="37.5" customHeight="1"/>
    <row r="424" ht="37.5" customHeight="1"/>
    <row r="425" ht="37.5" customHeight="1"/>
    <row r="426" ht="37.5" customHeight="1"/>
    <row r="427" ht="37.5" customHeight="1"/>
    <row r="428" ht="37.5" customHeight="1"/>
    <row r="429" ht="37.5" customHeight="1"/>
    <row r="430" ht="37.5" customHeight="1"/>
    <row r="431" ht="37.5" customHeight="1"/>
    <row r="432" ht="37.5" customHeight="1"/>
    <row r="433" ht="37.5" customHeight="1"/>
    <row r="434" ht="37.5" customHeight="1"/>
    <row r="435" ht="37.5" customHeight="1"/>
    <row r="436" ht="37.5" customHeight="1"/>
    <row r="437" ht="37.5" customHeight="1"/>
    <row r="438" ht="37.5" customHeight="1"/>
    <row r="439" ht="37.5" customHeight="1"/>
    <row r="440" ht="37.5" customHeight="1"/>
    <row r="441" ht="37.5" customHeight="1"/>
    <row r="442" ht="37.5" customHeight="1"/>
    <row r="443" ht="37.5" customHeight="1"/>
    <row r="444" ht="37.5" customHeight="1"/>
    <row r="445" ht="37.5" customHeight="1"/>
    <row r="446" ht="37.5" customHeight="1"/>
    <row r="447" ht="37.5" customHeight="1"/>
    <row r="448" ht="37.5" customHeight="1"/>
    <row r="449" ht="37.5" customHeight="1"/>
    <row r="450" ht="37.5" customHeight="1"/>
    <row r="451" ht="37.5" customHeight="1"/>
    <row r="452" ht="37.5" customHeight="1"/>
    <row r="453" ht="37.5" customHeight="1"/>
    <row r="454" ht="37.5" customHeight="1"/>
    <row r="455" ht="37.5" customHeight="1"/>
    <row r="456" ht="37.5" customHeight="1"/>
    <row r="457" ht="37.5" customHeight="1"/>
    <row r="458" ht="37.5" customHeight="1"/>
    <row r="459" ht="37.5" customHeight="1"/>
    <row r="460" ht="37.5" customHeight="1"/>
    <row r="461" ht="37.5" customHeight="1"/>
    <row r="462" ht="37.5" customHeight="1"/>
    <row r="463" ht="37.5" customHeight="1"/>
    <row r="464" ht="37.5" customHeight="1"/>
    <row r="465" ht="37.5" customHeight="1"/>
    <row r="466" ht="37.5" customHeight="1"/>
    <row r="467" ht="37.5" customHeight="1"/>
    <row r="468" ht="37.5" customHeight="1"/>
    <row r="469" ht="37.5" customHeight="1"/>
    <row r="470" ht="37.5" customHeight="1"/>
    <row r="471" ht="37.5" customHeight="1"/>
    <row r="472" ht="37.5" customHeight="1"/>
    <row r="473" ht="37.5" customHeight="1"/>
    <row r="474" ht="37.5" customHeight="1"/>
    <row r="475" ht="37.5" customHeight="1"/>
    <row r="476" ht="37.5" customHeight="1"/>
    <row r="477" ht="37.5" customHeight="1"/>
    <row r="478" ht="37.5" customHeight="1"/>
    <row r="479" ht="37.5" customHeight="1"/>
    <row r="480" ht="37.5" customHeight="1"/>
    <row r="481" ht="37.5" customHeight="1"/>
    <row r="482" ht="37.5" customHeight="1"/>
    <row r="483" ht="37.5" customHeight="1"/>
    <row r="484" ht="37.5" customHeight="1"/>
    <row r="485" ht="37.5" customHeight="1"/>
    <row r="486" ht="37.5" customHeight="1"/>
    <row r="487" ht="37.5" customHeight="1"/>
    <row r="488" ht="37.5" customHeight="1"/>
    <row r="489" ht="37.5" customHeight="1"/>
    <row r="490" ht="37.5" customHeight="1"/>
    <row r="491" ht="37.5" customHeight="1"/>
    <row r="492" ht="37.5" customHeight="1"/>
    <row r="493" ht="37.5" customHeight="1"/>
    <row r="494" ht="37.5" customHeight="1"/>
    <row r="495" ht="37.5" customHeight="1"/>
    <row r="496" ht="37.5" customHeight="1"/>
    <row r="497" ht="37.5" customHeight="1"/>
    <row r="498" ht="37.5" customHeight="1"/>
    <row r="499" ht="37.5" customHeight="1"/>
    <row r="500" ht="37.5" customHeight="1"/>
    <row r="501" ht="37.5" customHeight="1"/>
    <row r="502" ht="37.5" customHeight="1"/>
    <row r="503" ht="37.5" customHeight="1"/>
    <row r="504" ht="37.5" customHeight="1"/>
    <row r="505" ht="37.5" customHeight="1"/>
    <row r="506" ht="37.5" customHeight="1"/>
    <row r="507" ht="37.5" customHeight="1"/>
    <row r="508" ht="37.5" customHeight="1"/>
    <row r="509" ht="37.5" customHeight="1"/>
    <row r="510" ht="37.5" customHeight="1"/>
    <row r="511" ht="37.5" customHeight="1"/>
    <row r="512" ht="37.5" customHeight="1"/>
    <row r="513" ht="37.5" customHeight="1"/>
    <row r="514" ht="37.5" customHeight="1"/>
    <row r="515" ht="37.5" customHeight="1"/>
    <row r="516" ht="37.5" customHeight="1"/>
    <row r="517" ht="37.5" customHeight="1"/>
    <row r="518" ht="37.5" customHeight="1"/>
    <row r="519" ht="37.5" customHeight="1"/>
    <row r="520" ht="37.5" customHeight="1"/>
    <row r="521" ht="37.5" customHeight="1"/>
    <row r="522" ht="37.5" customHeight="1"/>
    <row r="523" ht="37.5" customHeight="1"/>
    <row r="524" ht="37.5" customHeight="1"/>
    <row r="525" ht="37.5" customHeight="1"/>
    <row r="526" ht="37.5" customHeight="1"/>
    <row r="527" ht="37.5" customHeight="1"/>
    <row r="528" ht="37.5" customHeight="1"/>
    <row r="529" ht="37.5" customHeight="1"/>
    <row r="530" ht="37.5" customHeight="1"/>
    <row r="531" ht="37.5" customHeight="1"/>
    <row r="532" ht="37.5" customHeight="1"/>
    <row r="533" ht="37.5" customHeight="1"/>
    <row r="534" ht="37.5" customHeight="1"/>
    <row r="535" ht="37.5" customHeight="1"/>
    <row r="536" ht="37.5" customHeight="1"/>
    <row r="537" ht="37.5" customHeight="1"/>
    <row r="538" ht="37.5" customHeight="1"/>
    <row r="539" ht="37.5" customHeight="1"/>
    <row r="540" ht="37.5" customHeight="1"/>
    <row r="541" ht="37.5" customHeight="1"/>
    <row r="542" ht="37.5" customHeight="1"/>
    <row r="543" ht="37.5" customHeight="1"/>
    <row r="544" ht="37.5" customHeight="1"/>
    <row r="545" ht="37.5" customHeight="1"/>
    <row r="546" ht="37.5" customHeight="1"/>
    <row r="547" ht="37.5" customHeight="1"/>
    <row r="548" ht="37.5" customHeight="1"/>
    <row r="549" ht="37.5" customHeight="1"/>
    <row r="550" ht="37.5" customHeight="1"/>
    <row r="551" ht="37.5" customHeight="1"/>
    <row r="552" ht="37.5" customHeight="1"/>
    <row r="553" ht="37.5" customHeight="1"/>
    <row r="554" ht="37.5" customHeight="1"/>
    <row r="555" ht="37.5" customHeight="1"/>
    <row r="556" ht="37.5" customHeight="1"/>
    <row r="557" ht="37.5" customHeight="1"/>
    <row r="558" ht="37.5" customHeight="1"/>
    <row r="559" ht="37.5" customHeight="1"/>
    <row r="560" ht="37.5" customHeight="1"/>
    <row r="561" ht="37.5" customHeight="1"/>
    <row r="562" ht="37.5" customHeight="1"/>
    <row r="563" ht="37.5" customHeight="1"/>
    <row r="564" ht="37.5" customHeight="1"/>
    <row r="565" ht="37.5" customHeight="1"/>
    <row r="566" ht="37.5" customHeight="1"/>
    <row r="567" ht="37.5" customHeight="1"/>
    <row r="568" ht="37.5" customHeight="1"/>
    <row r="569" ht="37.5" customHeight="1"/>
    <row r="570" ht="37.5" customHeight="1"/>
    <row r="571" ht="37.5" customHeight="1"/>
    <row r="572" ht="37.5" customHeight="1"/>
    <row r="573" ht="37.5" customHeight="1"/>
    <row r="574" ht="37.5" customHeight="1"/>
    <row r="575" ht="37.5" customHeight="1"/>
    <row r="576" ht="37.5" customHeight="1"/>
    <row r="577" ht="37.5" customHeight="1"/>
    <row r="578" ht="37.5" customHeight="1"/>
    <row r="579" ht="37.5" customHeight="1"/>
    <row r="580" ht="37.5" customHeight="1"/>
    <row r="581" ht="37.5" customHeight="1"/>
    <row r="582" ht="37.5" customHeight="1"/>
    <row r="583" ht="37.5" customHeight="1"/>
    <row r="584" ht="37.5" customHeight="1"/>
    <row r="585" ht="37.5" customHeight="1"/>
    <row r="586" ht="37.5" customHeight="1"/>
    <row r="587" ht="37.5" customHeight="1"/>
    <row r="588" ht="37.5" customHeight="1"/>
    <row r="589" ht="37.5" customHeight="1"/>
    <row r="590" ht="37.5" customHeight="1"/>
    <row r="591" ht="37.5" customHeight="1"/>
    <row r="592" ht="37.5" customHeight="1"/>
    <row r="593" ht="37.5" customHeight="1"/>
    <row r="594" ht="37.5" customHeight="1"/>
    <row r="595" ht="37.5" customHeight="1"/>
    <row r="596" ht="37.5" customHeight="1"/>
    <row r="597" ht="37.5" customHeight="1"/>
    <row r="598" ht="37.5" customHeight="1"/>
    <row r="599" ht="37.5" customHeight="1"/>
    <row r="600" ht="37.5" customHeight="1"/>
    <row r="601" ht="37.5" customHeight="1"/>
    <row r="602" ht="37.5" customHeight="1"/>
    <row r="603" ht="37.5" customHeight="1"/>
    <row r="604" ht="37.5" customHeight="1"/>
    <row r="605" ht="37.5" customHeight="1"/>
    <row r="606" ht="37.5" customHeight="1"/>
    <row r="607" ht="37.5" customHeight="1"/>
    <row r="608" ht="37.5" customHeight="1"/>
    <row r="609" ht="37.5" customHeight="1"/>
    <row r="610" ht="37.5" customHeight="1"/>
    <row r="611" ht="37.5" customHeight="1"/>
    <row r="612" ht="37.5" customHeight="1"/>
    <row r="613" ht="37.5" customHeight="1"/>
    <row r="614" ht="37.5" customHeight="1"/>
    <row r="615" ht="37.5" customHeight="1"/>
    <row r="616" ht="37.5" customHeight="1"/>
    <row r="617" ht="37.5" customHeight="1"/>
    <row r="618" ht="37.5" customHeight="1"/>
    <row r="619" ht="37.5" customHeight="1"/>
    <row r="620" ht="37.5" customHeight="1"/>
    <row r="621" ht="37.5" customHeight="1"/>
    <row r="622" ht="37.5" customHeight="1"/>
    <row r="623" ht="37.5" customHeight="1"/>
    <row r="624" ht="37.5" customHeight="1"/>
    <row r="625" ht="37.5" customHeight="1"/>
    <row r="626" ht="37.5" customHeight="1"/>
    <row r="627" ht="37.5" customHeight="1"/>
    <row r="628" ht="37.5" customHeight="1"/>
    <row r="629" ht="37.5" customHeight="1"/>
    <row r="630" ht="37.5" customHeight="1"/>
    <row r="631" ht="37.5" customHeight="1"/>
    <row r="632" ht="37.5" customHeight="1"/>
    <row r="633" ht="37.5" customHeight="1"/>
    <row r="634" ht="37.5" customHeight="1"/>
    <row r="635" ht="37.5" customHeight="1"/>
    <row r="636" ht="37.5" customHeight="1"/>
    <row r="637" ht="37.5" customHeight="1"/>
    <row r="638" ht="37.5" customHeight="1"/>
    <row r="639" ht="37.5" customHeight="1"/>
    <row r="640" ht="37.5" customHeight="1"/>
    <row r="641" ht="37.5" customHeight="1"/>
    <row r="642" ht="37.5" customHeight="1"/>
    <row r="643" ht="37.5" customHeight="1"/>
    <row r="644" ht="37.5" customHeight="1"/>
    <row r="645" ht="37.5" customHeight="1"/>
    <row r="646" ht="37.5" customHeight="1"/>
    <row r="647" ht="37.5" customHeight="1"/>
    <row r="648" ht="37.5" customHeight="1"/>
    <row r="649" ht="37.5" customHeight="1"/>
    <row r="650" ht="37.5" customHeight="1"/>
    <row r="651" ht="37.5" customHeight="1"/>
    <row r="652" ht="37.5" customHeight="1"/>
    <row r="653" ht="37.5" customHeight="1"/>
    <row r="654" ht="37.5" customHeight="1"/>
    <row r="655" ht="37.5" customHeight="1"/>
    <row r="656" ht="37.5" customHeight="1"/>
    <row r="657" ht="37.5" customHeight="1"/>
    <row r="658" ht="37.5" customHeight="1"/>
    <row r="659" ht="37.5" customHeight="1"/>
    <row r="660" ht="37.5" customHeight="1"/>
    <row r="661" ht="37.5" customHeight="1"/>
    <row r="662" ht="37.5" customHeight="1"/>
    <row r="663" ht="37.5" customHeight="1"/>
    <row r="664" ht="37.5" customHeight="1"/>
    <row r="665" ht="37.5" customHeight="1"/>
    <row r="666" ht="37.5" customHeight="1"/>
    <row r="667" ht="37.5" customHeight="1"/>
    <row r="668" ht="37.5" customHeight="1"/>
    <row r="669" ht="37.5" customHeight="1"/>
    <row r="670" ht="37.5" customHeight="1"/>
    <row r="671" ht="37.5" customHeight="1"/>
    <row r="672" ht="37.5" customHeight="1"/>
    <row r="673" ht="37.5" customHeight="1"/>
    <row r="674" ht="37.5" customHeight="1"/>
    <row r="675" ht="37.5" customHeight="1"/>
    <row r="676" ht="37.5" customHeight="1"/>
    <row r="677" ht="37.5" customHeight="1"/>
    <row r="678" ht="37.5" customHeight="1"/>
    <row r="679" ht="37.5" customHeight="1"/>
    <row r="680" ht="37.5" customHeight="1"/>
    <row r="681" ht="37.5" customHeight="1"/>
    <row r="682" ht="37.5" customHeight="1"/>
    <row r="683" ht="37.5" customHeight="1"/>
    <row r="684" ht="37.5" customHeight="1"/>
    <row r="685" ht="37.5" customHeight="1"/>
    <row r="686" ht="37.5" customHeight="1"/>
    <row r="687" ht="37.5" customHeight="1"/>
    <row r="688" ht="37.5" customHeight="1"/>
    <row r="689" ht="37.5" customHeight="1"/>
    <row r="690" ht="37.5" customHeight="1"/>
    <row r="691" ht="37.5" customHeight="1"/>
    <row r="692" ht="37.5" customHeight="1"/>
    <row r="693" ht="37.5" customHeight="1"/>
    <row r="694" ht="37.5" customHeight="1"/>
    <row r="695" ht="37.5" customHeight="1"/>
    <row r="696" ht="37.5" customHeight="1"/>
    <row r="697" ht="37.5" customHeight="1"/>
    <row r="698" ht="37.5" customHeight="1"/>
    <row r="699" ht="37.5" customHeight="1"/>
    <row r="700" ht="37.5" customHeight="1"/>
    <row r="701" ht="37.5" customHeight="1"/>
    <row r="702" ht="37.5" customHeight="1"/>
    <row r="703" ht="37.5" customHeight="1"/>
    <row r="704" ht="37.5" customHeight="1"/>
    <row r="705" ht="37.5" customHeight="1"/>
    <row r="706" ht="37.5" customHeight="1"/>
    <row r="707" ht="37.5" customHeight="1"/>
    <row r="708" ht="37.5" customHeight="1"/>
    <row r="709" ht="37.5" customHeight="1"/>
    <row r="710" ht="37.5" customHeight="1"/>
    <row r="711" ht="37.5" customHeight="1"/>
    <row r="712" ht="37.5" customHeight="1"/>
    <row r="713" ht="37.5" customHeight="1"/>
    <row r="714" ht="37.5" customHeight="1"/>
    <row r="715" ht="37.5" customHeight="1"/>
    <row r="716" ht="37.5" customHeight="1"/>
    <row r="717" ht="37.5" customHeight="1"/>
    <row r="718" ht="37.5" customHeight="1"/>
    <row r="719" ht="37.5" customHeight="1"/>
    <row r="720" ht="37.5" customHeight="1"/>
    <row r="721" ht="37.5" customHeight="1"/>
    <row r="722" ht="37.5" customHeight="1"/>
    <row r="723" ht="37.5" customHeight="1"/>
    <row r="724" ht="37.5" customHeight="1"/>
    <row r="725" ht="37.5" customHeight="1"/>
    <row r="726" ht="37.5" customHeight="1"/>
    <row r="727" ht="37.5" customHeight="1"/>
    <row r="728" ht="37.5" customHeight="1"/>
    <row r="729" ht="37.5" customHeight="1"/>
    <row r="730" ht="37.5" customHeight="1"/>
    <row r="731" ht="37.5" customHeight="1"/>
    <row r="732" ht="37.5" customHeight="1"/>
    <row r="733" ht="37.5" customHeight="1"/>
    <row r="734" ht="37.5" customHeight="1"/>
    <row r="735" ht="37.5" customHeight="1"/>
    <row r="736" ht="37.5" customHeight="1"/>
    <row r="737" ht="37.5" customHeight="1"/>
    <row r="738" ht="37.5" customHeight="1"/>
    <row r="739" ht="37.5" customHeight="1"/>
    <row r="740" ht="37.5" customHeight="1"/>
    <row r="741" ht="37.5" customHeight="1"/>
    <row r="742" ht="37.5" customHeight="1"/>
    <row r="743" ht="37.5" customHeight="1"/>
    <row r="744" ht="37.5" customHeight="1"/>
    <row r="745" ht="37.5" customHeight="1"/>
    <row r="746" ht="37.5" customHeight="1"/>
    <row r="747" ht="37.5" customHeight="1"/>
    <row r="748" ht="37.5" customHeight="1"/>
    <row r="749" ht="37.5" customHeight="1"/>
    <row r="750" ht="37.5" customHeight="1"/>
    <row r="751" ht="37.5" customHeight="1"/>
    <row r="752" ht="37.5" customHeight="1"/>
    <row r="753" ht="37.5" customHeight="1"/>
    <row r="754" ht="37.5" customHeight="1"/>
    <row r="755" ht="37.5" customHeight="1"/>
    <row r="756" ht="37.5" customHeight="1"/>
    <row r="757" ht="37.5" customHeight="1"/>
    <row r="758" ht="37.5" customHeight="1"/>
    <row r="759" ht="37.5" customHeight="1"/>
    <row r="760" ht="37.5" customHeight="1"/>
    <row r="761" ht="37.5" customHeight="1"/>
    <row r="762" ht="37.5" customHeight="1"/>
    <row r="763" ht="37.5" customHeight="1"/>
    <row r="764" ht="37.5" customHeight="1"/>
    <row r="765" ht="37.5" customHeight="1"/>
    <row r="766" ht="37.5" customHeight="1"/>
    <row r="767" ht="37.5" customHeight="1"/>
    <row r="768" ht="37.5" customHeight="1"/>
    <row r="769" ht="37.5" customHeight="1"/>
    <row r="770" ht="37.5" customHeight="1"/>
    <row r="771" ht="37.5" customHeight="1"/>
    <row r="772" ht="37.5" customHeight="1"/>
    <row r="773" ht="37.5" customHeight="1"/>
    <row r="774" ht="37.5" customHeight="1"/>
    <row r="775" ht="37.5" customHeight="1"/>
    <row r="776" ht="37.5" customHeight="1"/>
    <row r="777" ht="37.5" customHeight="1"/>
    <row r="778" ht="37.5" customHeight="1"/>
    <row r="779" ht="37.5" customHeight="1"/>
    <row r="780" ht="37.5" customHeight="1"/>
    <row r="781" ht="37.5" customHeight="1"/>
    <row r="782" ht="37.5" customHeight="1"/>
    <row r="783" ht="37.5" customHeight="1"/>
    <row r="784" ht="37.5" customHeight="1"/>
    <row r="785" ht="37.5" customHeight="1"/>
    <row r="786" ht="37.5" customHeight="1"/>
    <row r="787" ht="37.5" customHeight="1"/>
    <row r="788" ht="37.5" customHeight="1"/>
    <row r="789" ht="37.5" customHeight="1"/>
    <row r="790" ht="37.5" customHeight="1"/>
    <row r="791" ht="37.5" customHeight="1"/>
    <row r="792" ht="37.5" customHeight="1"/>
    <row r="793" ht="37.5" customHeight="1"/>
    <row r="794" ht="37.5" customHeight="1"/>
    <row r="795" ht="37.5" customHeight="1"/>
    <row r="796" ht="37.5" customHeight="1"/>
    <row r="797" ht="37.5" customHeight="1"/>
    <row r="798" ht="37.5" customHeight="1"/>
    <row r="799" ht="37.5" customHeight="1"/>
    <row r="800" ht="37.5" customHeight="1"/>
    <row r="801" ht="37.5" customHeight="1"/>
    <row r="802" ht="37.5" customHeight="1"/>
    <row r="803" ht="37.5" customHeight="1"/>
    <row r="804" ht="37.5" customHeight="1"/>
    <row r="805" ht="37.5" customHeight="1"/>
    <row r="806" ht="37.5" customHeight="1"/>
    <row r="807" ht="37.5" customHeight="1"/>
    <row r="808" ht="37.5" customHeight="1"/>
    <row r="809" ht="37.5" customHeight="1"/>
    <row r="810" ht="37.5" customHeight="1"/>
    <row r="811" ht="37.5" customHeight="1"/>
    <row r="812" ht="37.5" customHeight="1"/>
    <row r="813" ht="37.5" customHeight="1"/>
    <row r="814" ht="37.5" customHeight="1"/>
    <row r="815" ht="37.5" customHeight="1"/>
    <row r="816" ht="37.5" customHeight="1"/>
    <row r="817" ht="37.5" customHeight="1"/>
    <row r="818" ht="37.5" customHeight="1"/>
    <row r="819" ht="37.5" customHeight="1"/>
    <row r="820" ht="37.5" customHeight="1"/>
    <row r="821" ht="37.5" customHeight="1"/>
    <row r="822" ht="37.5" customHeight="1"/>
    <row r="823" ht="37.5" customHeight="1"/>
    <row r="824" ht="37.5" customHeight="1"/>
    <row r="825" ht="37.5" customHeight="1"/>
    <row r="826" ht="37.5" customHeight="1"/>
    <row r="827" ht="37.5" customHeight="1"/>
    <row r="828" ht="37.5" customHeight="1"/>
    <row r="829" ht="37.5" customHeight="1"/>
    <row r="830" ht="37.5" customHeight="1"/>
    <row r="831" ht="37.5" customHeight="1"/>
    <row r="832" ht="37.5" customHeight="1"/>
    <row r="833" ht="37.5" customHeight="1"/>
    <row r="834" ht="37.5" customHeight="1"/>
    <row r="835" ht="37.5" customHeight="1"/>
    <row r="836" ht="37.5" customHeight="1"/>
    <row r="837" ht="37.5" customHeight="1"/>
    <row r="838" ht="37.5" customHeight="1"/>
    <row r="839" ht="37.5" customHeight="1"/>
    <row r="840" ht="37.5" customHeight="1"/>
    <row r="841" ht="37.5" customHeight="1"/>
    <row r="842" ht="37.5" customHeight="1"/>
    <row r="843" ht="37.5" customHeight="1"/>
    <row r="844" ht="37.5" customHeight="1"/>
    <row r="845" ht="37.5" customHeight="1"/>
    <row r="846" ht="37.5" customHeight="1"/>
    <row r="847" ht="37.5" customHeight="1"/>
    <row r="848" ht="37.5" customHeight="1"/>
    <row r="849" ht="37.5" customHeight="1"/>
    <row r="850" ht="37.5" customHeight="1"/>
    <row r="851" ht="37.5" customHeight="1"/>
    <row r="852" ht="37.5" customHeight="1"/>
    <row r="853" ht="37.5" customHeight="1"/>
    <row r="854" ht="37.5" customHeight="1"/>
    <row r="855" ht="37.5" customHeight="1"/>
    <row r="856" ht="37.5" customHeight="1"/>
    <row r="857" ht="37.5" customHeight="1"/>
    <row r="858" ht="37.5" customHeight="1"/>
    <row r="859" ht="37.5" customHeight="1"/>
    <row r="860" ht="37.5" customHeight="1"/>
    <row r="861" ht="37.5" customHeight="1"/>
    <row r="862" ht="37.5" customHeight="1"/>
    <row r="863" ht="37.5" customHeight="1"/>
    <row r="864" ht="37.5" customHeight="1"/>
    <row r="865" ht="37.5" customHeight="1"/>
    <row r="866" ht="37.5" customHeight="1"/>
    <row r="867" ht="37.5" customHeight="1"/>
    <row r="868" ht="37.5" customHeight="1"/>
    <row r="869" ht="37.5" customHeight="1"/>
    <row r="870" ht="37.5" customHeight="1"/>
    <row r="871" ht="37.5" customHeight="1"/>
    <row r="872" ht="37.5" customHeight="1"/>
    <row r="873" ht="37.5" customHeight="1"/>
    <row r="874" ht="37.5" customHeight="1"/>
    <row r="875" ht="37.5" customHeight="1"/>
    <row r="876" ht="37.5" customHeight="1"/>
    <row r="877" ht="37.5" customHeight="1"/>
    <row r="878" ht="37.5" customHeight="1"/>
    <row r="879" ht="37.5" customHeight="1"/>
    <row r="880" ht="37.5" customHeight="1"/>
    <row r="881" ht="37.5" customHeight="1"/>
    <row r="882" ht="37.5" customHeight="1"/>
    <row r="883" ht="37.5" customHeight="1"/>
    <row r="884" ht="37.5" customHeight="1"/>
    <row r="885" ht="37.5" customHeight="1"/>
    <row r="886" ht="37.5" customHeight="1"/>
    <row r="887" ht="37.5" customHeight="1"/>
    <row r="888" ht="37.5" customHeight="1"/>
    <row r="889" ht="37.5" customHeight="1"/>
    <row r="890" ht="37.5" customHeight="1"/>
    <row r="891" ht="37.5" customHeight="1"/>
    <row r="892" ht="37.5" customHeight="1"/>
    <row r="893" ht="37.5" customHeight="1"/>
    <row r="894" ht="37.5" customHeight="1"/>
    <row r="895" ht="37.5" customHeight="1"/>
    <row r="896" ht="37.5" customHeight="1"/>
    <row r="897" ht="37.5" customHeight="1"/>
    <row r="898" ht="37.5" customHeight="1"/>
    <row r="899" ht="37.5" customHeight="1"/>
    <row r="900" ht="37.5" customHeight="1"/>
    <row r="901" ht="37.5" customHeight="1"/>
    <row r="902" ht="37.5" customHeight="1"/>
    <row r="903" ht="37.5" customHeight="1"/>
    <row r="904" ht="37.5" customHeight="1"/>
    <row r="905" ht="37.5" customHeight="1"/>
    <row r="906" ht="37.5" customHeight="1"/>
    <row r="907" ht="37.5" customHeight="1"/>
    <row r="908" ht="37.5" customHeight="1"/>
    <row r="909" ht="37.5" customHeight="1"/>
    <row r="910" ht="37.5" customHeight="1"/>
    <row r="911" ht="37.5" customHeight="1"/>
    <row r="912" ht="37.5" customHeight="1"/>
    <row r="913" ht="37.5" customHeight="1"/>
    <row r="914" ht="37.5" customHeight="1"/>
    <row r="915" ht="37.5" customHeight="1"/>
    <row r="916" ht="37.5" customHeight="1"/>
    <row r="917" ht="37.5" customHeight="1"/>
    <row r="918" ht="37.5" customHeight="1"/>
    <row r="919" ht="37.5" customHeight="1"/>
    <row r="920" ht="37.5" customHeight="1"/>
    <row r="921" ht="37.5" customHeight="1"/>
    <row r="922" ht="37.5" customHeight="1"/>
    <row r="923" ht="37.5" customHeight="1"/>
    <row r="924" ht="37.5" customHeight="1"/>
    <row r="925" ht="37.5" customHeight="1"/>
    <row r="926" ht="37.5" customHeight="1"/>
    <row r="927" ht="37.5" customHeight="1"/>
    <row r="928" ht="37.5" customHeight="1"/>
    <row r="929" ht="37.5" customHeight="1"/>
    <row r="930" ht="37.5" customHeight="1"/>
    <row r="931" ht="37.5" customHeight="1"/>
    <row r="932" ht="37.5" customHeight="1"/>
    <row r="933" ht="37.5" customHeight="1"/>
    <row r="934" ht="37.5" customHeight="1"/>
    <row r="935" ht="37.5" customHeight="1"/>
    <row r="936" ht="37.5" customHeight="1"/>
    <row r="937" ht="37.5" customHeight="1"/>
    <row r="938" ht="37.5" customHeight="1"/>
    <row r="939" ht="37.5" customHeight="1"/>
    <row r="940" ht="37.5" customHeight="1"/>
    <row r="941" ht="37.5" customHeight="1"/>
    <row r="942" ht="37.5" customHeight="1"/>
    <row r="943" ht="37.5" customHeight="1"/>
    <row r="944" ht="37.5" customHeight="1"/>
    <row r="945" ht="37.5" customHeight="1"/>
    <row r="946" ht="37.5" customHeight="1"/>
    <row r="947" ht="37.5" customHeight="1"/>
    <row r="948" ht="37.5" customHeight="1"/>
    <row r="949" ht="37.5" customHeight="1"/>
    <row r="950" ht="37.5" customHeight="1"/>
    <row r="951" ht="37.5" customHeight="1"/>
    <row r="952" ht="37.5" customHeight="1"/>
    <row r="953" ht="37.5" customHeight="1"/>
    <row r="954" ht="37.5" customHeight="1"/>
    <row r="955" ht="37.5" customHeight="1"/>
    <row r="956" ht="37.5" customHeight="1"/>
    <row r="957" ht="37.5" customHeight="1"/>
    <row r="958" ht="37.5" customHeight="1"/>
    <row r="959" ht="37.5" customHeight="1"/>
    <row r="960" ht="37.5" customHeight="1"/>
    <row r="961" ht="37.5" customHeight="1"/>
    <row r="962" ht="37.5" customHeight="1"/>
    <row r="963" ht="37.5" customHeight="1"/>
    <row r="964" ht="37.5" customHeight="1"/>
    <row r="965" ht="37.5" customHeight="1"/>
    <row r="966" ht="37.5" customHeight="1"/>
    <row r="967" ht="37.5" customHeight="1"/>
    <row r="968" ht="37.5" customHeight="1"/>
    <row r="969" ht="37.5" customHeight="1"/>
    <row r="970" ht="37.5" customHeight="1"/>
    <row r="971" ht="37.5" customHeight="1"/>
    <row r="972" ht="37.5" customHeight="1"/>
    <row r="973" ht="37.5" customHeight="1"/>
    <row r="974" ht="37.5" customHeight="1"/>
    <row r="975" ht="37.5" customHeight="1"/>
    <row r="976" ht="37.5" customHeight="1"/>
    <row r="977" ht="37.5" customHeight="1"/>
    <row r="978" ht="37.5" customHeight="1"/>
    <row r="979" ht="37.5" customHeight="1"/>
    <row r="980" ht="37.5" customHeight="1"/>
    <row r="981" ht="37.5" customHeight="1"/>
    <row r="982" ht="37.5" customHeight="1"/>
    <row r="983" ht="37.5" customHeight="1"/>
    <row r="984" ht="37.5" customHeight="1"/>
    <row r="985" ht="37.5" customHeight="1"/>
    <row r="986" ht="37.5" customHeight="1"/>
    <row r="987" ht="37.5" customHeight="1"/>
    <row r="988" ht="37.5" customHeight="1"/>
    <row r="989" ht="37.5" customHeight="1"/>
    <row r="990" ht="37.5" customHeight="1"/>
    <row r="991" ht="37.5" customHeight="1"/>
    <row r="992" ht="37.5" customHeight="1"/>
    <row r="993" ht="37.5" customHeight="1"/>
    <row r="994" ht="37.5" customHeight="1"/>
    <row r="995" ht="37.5" customHeight="1"/>
    <row r="996" ht="37.5" customHeight="1"/>
    <row r="997" ht="37.5" customHeight="1"/>
    <row r="998" ht="37.5" customHeight="1"/>
    <row r="999" ht="37.5" customHeight="1"/>
    <row r="1000" ht="37.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83.0"/>
  </cols>
  <sheetData>
    <row r="1" ht="34.5" customHeight="1">
      <c r="A1" s="16" t="s">
        <v>2670</v>
      </c>
      <c r="B1" s="16" t="str">
        <f>IMAGE("https://lmztiles.s3.eu-west-1.amazonaws.com/Modern_Interiors_v41.3.4/1_Interiors/16x16/Theme_Sorter_Singles/14_Basement_Singles/Basement_Singles_1.png")</f>
        <v/>
      </c>
    </row>
    <row r="2" ht="34.5" customHeight="1">
      <c r="A2" s="16" t="s">
        <v>2671</v>
      </c>
      <c r="B2" s="16" t="str">
        <f>IMAGE("https://lmztiles.s3.eu-west-1.amazonaws.com/Modern_Interiors_v41.3.4/1_Interiors/16x16/Theme_Sorter_Singles/14_Basement_Singles/Basement_Singles_2.png")</f>
        <v/>
      </c>
    </row>
    <row r="3" ht="34.5" customHeight="1">
      <c r="A3" s="16" t="s">
        <v>2672</v>
      </c>
      <c r="B3" s="16" t="str">
        <f>IMAGE("https://lmztiles.s3.eu-west-1.amazonaws.com/Modern_Interiors_v41.3.4/1_Interiors/16x16/Theme_Sorter_Singles/14_Basement_Singles/Basement_Singles_3.png")</f>
        <v/>
      </c>
    </row>
    <row r="4" ht="34.5" customHeight="1">
      <c r="A4" s="16" t="s">
        <v>2673</v>
      </c>
      <c r="B4" s="16" t="str">
        <f>IMAGE("https://lmztiles.s3.eu-west-1.amazonaws.com/Modern_Interiors_v41.3.4/1_Interiors/16x16/Theme_Sorter_Singles/14_Basement_Singles/Basement_Singles_4.png")</f>
        <v/>
      </c>
    </row>
    <row r="5" ht="34.5" customHeight="1">
      <c r="A5" s="16" t="s">
        <v>2674</v>
      </c>
      <c r="B5" s="16" t="str">
        <f>IMAGE("https://lmztiles.s3.eu-west-1.amazonaws.com/Modern_Interiors_v41.3.4/1_Interiors/16x16/Theme_Sorter_Singles/14_Basement_Singles/Basement_Singles_5.png")</f>
        <v/>
      </c>
    </row>
    <row r="6" ht="34.5" customHeight="1">
      <c r="A6" s="16" t="s">
        <v>2675</v>
      </c>
      <c r="B6" s="16" t="str">
        <f>IMAGE("https://lmztiles.s3.eu-west-1.amazonaws.com/Modern_Interiors_v41.3.4/1_Interiors/16x16/Theme_Sorter_Singles/14_Basement_Singles/Basement_Singles_6.png")</f>
        <v/>
      </c>
    </row>
    <row r="7" ht="34.5" customHeight="1">
      <c r="A7" s="16" t="s">
        <v>2676</v>
      </c>
      <c r="B7" s="16" t="str">
        <f>IMAGE("https://lmztiles.s3.eu-west-1.amazonaws.com/Modern_Interiors_v41.3.4/1_Interiors/16x16/Theme_Sorter_Singles/14_Basement_Singles/Basement_Singles_7.png")</f>
        <v/>
      </c>
    </row>
    <row r="8" ht="34.5" customHeight="1">
      <c r="A8" s="16" t="s">
        <v>2677</v>
      </c>
      <c r="B8" s="16" t="str">
        <f>IMAGE("https://lmztiles.s3.eu-west-1.amazonaws.com/Modern_Interiors_v41.3.4/1_Interiors/16x16/Theme_Sorter_Singles/14_Basement_Singles/Basement_Singles_8.png")</f>
        <v/>
      </c>
    </row>
    <row r="9" ht="34.5" customHeight="1">
      <c r="A9" s="16" t="s">
        <v>2678</v>
      </c>
      <c r="B9" s="16" t="str">
        <f>IMAGE("https://lmztiles.s3.eu-west-1.amazonaws.com/Modern_Interiors_v41.3.4/1_Interiors/16x16/Theme_Sorter_Singles/14_Basement_Singles/Basement_Singles_9.png")</f>
        <v/>
      </c>
    </row>
    <row r="10" ht="34.5" customHeight="1">
      <c r="A10" s="16" t="s">
        <v>2679</v>
      </c>
      <c r="B10" s="16" t="str">
        <f>IMAGE("https://lmztiles.s3.eu-west-1.amazonaws.com/Modern_Interiors_v41.3.4/1_Interiors/16x16/Theme_Sorter_Singles/14_Basement_Singles/Basement_Singles_10.png")</f>
        <v/>
      </c>
    </row>
    <row r="11" ht="34.5" customHeight="1">
      <c r="A11" s="16" t="s">
        <v>2680</v>
      </c>
      <c r="B11" s="16" t="str">
        <f>IMAGE("https://lmztiles.s3.eu-west-1.amazonaws.com/Modern_Interiors_v41.3.4/1_Interiors/16x16/Theme_Sorter_Singles/14_Basement_Singles/Basement_Singles_11.png")</f>
        <v/>
      </c>
    </row>
    <row r="12" ht="34.5" customHeight="1">
      <c r="A12" s="16" t="s">
        <v>2681</v>
      </c>
      <c r="B12" s="16" t="str">
        <f>IMAGE("https://lmztiles.s3.eu-west-1.amazonaws.com/Modern_Interiors_v41.3.4/1_Interiors/16x16/Theme_Sorter_Singles/14_Basement_Singles/Basement_Singles_12.png")</f>
        <v/>
      </c>
    </row>
    <row r="13" ht="34.5" customHeight="1">
      <c r="A13" s="16" t="s">
        <v>2682</v>
      </c>
      <c r="B13" s="16" t="str">
        <f>IMAGE("https://lmztiles.s3.eu-west-1.amazonaws.com/Modern_Interiors_v41.3.4/1_Interiors/16x16/Theme_Sorter_Singles/14_Basement_Singles/Basement_Singles_13.png")</f>
        <v/>
      </c>
    </row>
    <row r="14" ht="34.5" customHeight="1">
      <c r="A14" s="16" t="s">
        <v>2683</v>
      </c>
      <c r="B14" s="16" t="str">
        <f>IMAGE("https://lmztiles.s3.eu-west-1.amazonaws.com/Modern_Interiors_v41.3.4/1_Interiors/16x16/Theme_Sorter_Singles/14_Basement_Singles/Basement_Singles_14.png")</f>
        <v/>
      </c>
    </row>
    <row r="15" ht="34.5" customHeight="1">
      <c r="A15" s="16" t="s">
        <v>2684</v>
      </c>
      <c r="B15" s="16" t="str">
        <f>IMAGE("https://lmztiles.s3.eu-west-1.amazonaws.com/Modern_Interiors_v41.3.4/1_Interiors/16x16/Theme_Sorter_Singles/14_Basement_Singles/Basement_Singles_15.png")</f>
        <v/>
      </c>
    </row>
    <row r="16" ht="34.5" customHeight="1">
      <c r="A16" s="16" t="s">
        <v>2685</v>
      </c>
      <c r="B16" s="16" t="str">
        <f>IMAGE("https://lmztiles.s3.eu-west-1.amazonaws.com/Modern_Interiors_v41.3.4/1_Interiors/16x16/Theme_Sorter_Singles/14_Basement_Singles/Basement_Singles_16.png")</f>
        <v/>
      </c>
    </row>
    <row r="17" ht="34.5" customHeight="1">
      <c r="A17" s="16" t="s">
        <v>2686</v>
      </c>
      <c r="B17" s="16" t="str">
        <f>IMAGE("https://lmztiles.s3.eu-west-1.amazonaws.com/Modern_Interiors_v41.3.4/1_Interiors/16x16/Theme_Sorter_Singles/14_Basement_Singles/Basement_Singles_17.png")</f>
        <v/>
      </c>
    </row>
    <row r="18" ht="34.5" customHeight="1">
      <c r="A18" s="16" t="s">
        <v>2687</v>
      </c>
      <c r="B18" s="16" t="str">
        <f>IMAGE("https://lmztiles.s3.eu-west-1.amazonaws.com/Modern_Interiors_v41.3.4/1_Interiors/16x16/Theme_Sorter_Singles/14_Basement_Singles/Basement_Singles_18.png")</f>
        <v/>
      </c>
    </row>
    <row r="19" ht="34.5" customHeight="1">
      <c r="A19" s="16" t="s">
        <v>2688</v>
      </c>
      <c r="B19" s="16" t="str">
        <f>IMAGE("https://lmztiles.s3.eu-west-1.amazonaws.com/Modern_Interiors_v41.3.4/1_Interiors/16x16/Theme_Sorter_Singles/14_Basement_Singles/Basement_Singles_19.png")</f>
        <v/>
      </c>
    </row>
    <row r="20" ht="34.5" customHeight="1">
      <c r="A20" s="16" t="s">
        <v>2689</v>
      </c>
      <c r="B20" s="16" t="str">
        <f>IMAGE("https://lmztiles.s3.eu-west-1.amazonaws.com/Modern_Interiors_v41.3.4/1_Interiors/16x16/Theme_Sorter_Singles/14_Basement_Singles/Basement_Singles_20.png")</f>
        <v/>
      </c>
    </row>
    <row r="21" ht="34.5" customHeight="1">
      <c r="A21" s="16" t="s">
        <v>2690</v>
      </c>
      <c r="B21" s="16" t="str">
        <f>IMAGE("https://lmztiles.s3.eu-west-1.amazonaws.com/Modern_Interiors_v41.3.4/1_Interiors/16x16/Theme_Sorter_Singles/14_Basement_Singles/Basement_Singles_21.png")</f>
        <v/>
      </c>
    </row>
    <row r="22" ht="34.5" customHeight="1">
      <c r="A22" s="16" t="s">
        <v>2691</v>
      </c>
      <c r="B22" s="16" t="str">
        <f>IMAGE("https://lmztiles.s3.eu-west-1.amazonaws.com/Modern_Interiors_v41.3.4/1_Interiors/16x16/Theme_Sorter_Singles/14_Basement_Singles/Basement_Singles_22.png")</f>
        <v/>
      </c>
    </row>
    <row r="23" ht="34.5" customHeight="1">
      <c r="A23" s="16" t="s">
        <v>2692</v>
      </c>
      <c r="B23" s="16" t="str">
        <f>IMAGE("https://lmztiles.s3.eu-west-1.amazonaws.com/Modern_Interiors_v41.3.4/1_Interiors/16x16/Theme_Sorter_Singles/14_Basement_Singles/Basement_Singles_23.png")</f>
        <v/>
      </c>
    </row>
    <row r="24" ht="34.5" customHeight="1">
      <c r="A24" s="16" t="s">
        <v>2693</v>
      </c>
      <c r="B24" s="16" t="str">
        <f>IMAGE("https://lmztiles.s3.eu-west-1.amazonaws.com/Modern_Interiors_v41.3.4/1_Interiors/16x16/Theme_Sorter_Singles/14_Basement_Singles/Basement_Singles_24.png")</f>
        <v/>
      </c>
    </row>
    <row r="25" ht="34.5" customHeight="1">
      <c r="A25" s="16" t="s">
        <v>2694</v>
      </c>
      <c r="B25" s="16" t="str">
        <f>IMAGE("https://lmztiles.s3.eu-west-1.amazonaws.com/Modern_Interiors_v41.3.4/1_Interiors/16x16/Theme_Sorter_Singles/14_Basement_Singles/Basement_Singles_25.png")</f>
        <v/>
      </c>
    </row>
    <row r="26" ht="34.5" customHeight="1">
      <c r="A26" s="16" t="s">
        <v>2695</v>
      </c>
      <c r="B26" s="16" t="str">
        <f>IMAGE("https://lmztiles.s3.eu-west-1.amazonaws.com/Modern_Interiors_v41.3.4/1_Interiors/16x16/Theme_Sorter_Singles/14_Basement_Singles/Basement_Singles_26.png")</f>
        <v/>
      </c>
    </row>
    <row r="27" ht="34.5" customHeight="1">
      <c r="A27" s="16" t="s">
        <v>2696</v>
      </c>
      <c r="B27" s="16" t="str">
        <f>IMAGE("https://lmztiles.s3.eu-west-1.amazonaws.com/Modern_Interiors_v41.3.4/1_Interiors/16x16/Theme_Sorter_Singles/14_Basement_Singles/Basement_Singles_27.png")</f>
        <v/>
      </c>
    </row>
    <row r="28" ht="34.5" customHeight="1">
      <c r="A28" s="16" t="s">
        <v>2697</v>
      </c>
      <c r="B28" s="16" t="str">
        <f>IMAGE("https://lmztiles.s3.eu-west-1.amazonaws.com/Modern_Interiors_v41.3.4/1_Interiors/16x16/Theme_Sorter_Singles/14_Basement_Singles/Basement_Singles_28.png")</f>
        <v/>
      </c>
    </row>
    <row r="29" ht="34.5" customHeight="1">
      <c r="A29" s="16" t="s">
        <v>2698</v>
      </c>
      <c r="B29" s="16" t="str">
        <f>IMAGE("https://lmztiles.s3.eu-west-1.amazonaws.com/Modern_Interiors_v41.3.4/1_Interiors/16x16/Theme_Sorter_Singles/14_Basement_Singles/Basement_Singles_29.png")</f>
        <v/>
      </c>
    </row>
    <row r="30" ht="34.5" customHeight="1">
      <c r="A30" s="16" t="s">
        <v>2699</v>
      </c>
      <c r="B30" s="16" t="str">
        <f>IMAGE("https://lmztiles.s3.eu-west-1.amazonaws.com/Modern_Interiors_v41.3.4/1_Interiors/16x16/Theme_Sorter_Singles/14_Basement_Singles/Basement_Singles_30.png")</f>
        <v/>
      </c>
    </row>
    <row r="31" ht="34.5" customHeight="1">
      <c r="A31" s="16" t="s">
        <v>2700</v>
      </c>
      <c r="B31" s="16" t="str">
        <f>IMAGE("https://lmztiles.s3.eu-west-1.amazonaws.com/Modern_Interiors_v41.3.4/1_Interiors/16x16/Theme_Sorter_Singles/14_Basement_Singles/Basement_Singles_31.png")</f>
        <v/>
      </c>
    </row>
    <row r="32" ht="34.5" customHeight="1">
      <c r="A32" s="16" t="s">
        <v>2701</v>
      </c>
      <c r="B32" s="16" t="str">
        <f>IMAGE("https://lmztiles.s3.eu-west-1.amazonaws.com/Modern_Interiors_v41.3.4/1_Interiors/16x16/Theme_Sorter_Singles/14_Basement_Singles/Basement_Singles_32.png")</f>
        <v/>
      </c>
    </row>
    <row r="33" ht="34.5" customHeight="1">
      <c r="A33" s="16" t="s">
        <v>2702</v>
      </c>
      <c r="B33" s="16" t="str">
        <f>IMAGE("https://lmztiles.s3.eu-west-1.amazonaws.com/Modern_Interiors_v41.3.4/1_Interiors/16x16/Theme_Sorter_Singles/14_Basement_Singles/Basement_Singles_33.png")</f>
        <v/>
      </c>
    </row>
    <row r="34" ht="34.5" customHeight="1">
      <c r="A34" s="16" t="s">
        <v>2703</v>
      </c>
      <c r="B34" s="16" t="str">
        <f>IMAGE("https://lmztiles.s3.eu-west-1.amazonaws.com/Modern_Interiors_v41.3.4/1_Interiors/16x16/Theme_Sorter_Singles/14_Basement_Singles/Basement_Singles_34.png")</f>
        <v/>
      </c>
    </row>
    <row r="35" ht="34.5" customHeight="1">
      <c r="A35" s="16" t="s">
        <v>2704</v>
      </c>
      <c r="B35" s="16" t="str">
        <f>IMAGE("https://lmztiles.s3.eu-west-1.amazonaws.com/Modern_Interiors_v41.3.4/1_Interiors/16x16/Theme_Sorter_Singles/14_Basement_Singles/Basement_Singles_35.png")</f>
        <v/>
      </c>
    </row>
    <row r="36" ht="34.5" customHeight="1">
      <c r="A36" s="16" t="s">
        <v>2705</v>
      </c>
      <c r="B36" s="16" t="str">
        <f>IMAGE("https://lmztiles.s3.eu-west-1.amazonaws.com/Modern_Interiors_v41.3.4/1_Interiors/16x16/Theme_Sorter_Singles/14_Basement_Singles/Basement_Singles_36.png")</f>
        <v/>
      </c>
    </row>
    <row r="37" ht="34.5" customHeight="1">
      <c r="A37" s="16" t="s">
        <v>2706</v>
      </c>
      <c r="B37" s="16" t="str">
        <f>IMAGE("https://lmztiles.s3.eu-west-1.amazonaws.com/Modern_Interiors_v41.3.4/1_Interiors/16x16/Theme_Sorter_Singles/14_Basement_Singles/Basement_Singles_37.png")</f>
        <v/>
      </c>
    </row>
    <row r="38" ht="34.5" customHeight="1">
      <c r="A38" s="16" t="s">
        <v>2707</v>
      </c>
      <c r="B38" s="16" t="str">
        <f>IMAGE("https://lmztiles.s3.eu-west-1.amazonaws.com/Modern_Interiors_v41.3.4/1_Interiors/16x16/Theme_Sorter_Singles/14_Basement_Singles/Basement_Singles_38.png")</f>
        <v/>
      </c>
    </row>
    <row r="39" ht="34.5" customHeight="1">
      <c r="A39" s="16" t="s">
        <v>2708</v>
      </c>
      <c r="B39" s="16" t="str">
        <f>IMAGE("https://lmztiles.s3.eu-west-1.amazonaws.com/Modern_Interiors_v41.3.4/1_Interiors/16x16/Theme_Sorter_Singles/14_Basement_Singles/Basement_Singles_39.png")</f>
        <v/>
      </c>
    </row>
    <row r="40" ht="34.5" customHeight="1">
      <c r="A40" s="16" t="s">
        <v>2709</v>
      </c>
      <c r="B40" s="16" t="str">
        <f>IMAGE("https://lmztiles.s3.eu-west-1.amazonaws.com/Modern_Interiors_v41.3.4/1_Interiors/16x16/Theme_Sorter_Singles/14_Basement_Singles/Basement_Singles_40.png")</f>
        <v/>
      </c>
    </row>
    <row r="41" ht="34.5" customHeight="1">
      <c r="A41" s="16" t="s">
        <v>2710</v>
      </c>
      <c r="B41" s="16" t="str">
        <f>IMAGE("https://lmztiles.s3.eu-west-1.amazonaws.com/Modern_Interiors_v41.3.4/1_Interiors/16x16/Theme_Sorter_Singles/14_Basement_Singles/Basement_Singles_41.png")</f>
        <v/>
      </c>
    </row>
    <row r="42" ht="34.5" customHeight="1">
      <c r="A42" s="16" t="s">
        <v>2711</v>
      </c>
      <c r="B42" s="16" t="str">
        <f>IMAGE("https://lmztiles.s3.eu-west-1.amazonaws.com/Modern_Interiors_v41.3.4/1_Interiors/16x16/Theme_Sorter_Singles/14_Basement_Singles/Basement_Singles_42.png")</f>
        <v/>
      </c>
    </row>
    <row r="43" ht="34.5" customHeight="1">
      <c r="A43" s="16" t="s">
        <v>2712</v>
      </c>
      <c r="B43" s="16" t="str">
        <f>IMAGE("https://lmztiles.s3.eu-west-1.amazonaws.com/Modern_Interiors_v41.3.4/1_Interiors/16x16/Theme_Sorter_Singles/14_Basement_Singles/Basement_Singles_43.png")</f>
        <v/>
      </c>
    </row>
    <row r="44" ht="34.5" customHeight="1">
      <c r="A44" s="16" t="s">
        <v>2713</v>
      </c>
      <c r="B44" s="16" t="str">
        <f>IMAGE("https://lmztiles.s3.eu-west-1.amazonaws.com/Modern_Interiors_v41.3.4/1_Interiors/16x16/Theme_Sorter_Singles/14_Basement_Singles/Basement_Singles_44.png")</f>
        <v/>
      </c>
    </row>
    <row r="45" ht="34.5" customHeight="1">
      <c r="A45" s="16" t="s">
        <v>2714</v>
      </c>
      <c r="B45" s="16" t="str">
        <f>IMAGE("https://lmztiles.s3.eu-west-1.amazonaws.com/Modern_Interiors_v41.3.4/1_Interiors/16x16/Theme_Sorter_Singles/14_Basement_Singles/Basement_Singles_45.png")</f>
        <v/>
      </c>
    </row>
    <row r="46" ht="34.5" customHeight="1">
      <c r="A46" s="16" t="s">
        <v>2715</v>
      </c>
      <c r="B46" s="16" t="str">
        <f>IMAGE("https://lmztiles.s3.eu-west-1.amazonaws.com/Modern_Interiors_v41.3.4/1_Interiors/16x16/Theme_Sorter_Singles/14_Basement_Singles/Basement_Singles_46.png")</f>
        <v/>
      </c>
    </row>
    <row r="47" ht="34.5" customHeight="1">
      <c r="A47" s="16" t="s">
        <v>2716</v>
      </c>
      <c r="B47" s="16" t="str">
        <f>IMAGE("https://lmztiles.s3.eu-west-1.amazonaws.com/Modern_Interiors_v41.3.4/1_Interiors/16x16/Theme_Sorter_Singles/14_Basement_Singles/Basement_Singles_47.png")</f>
        <v/>
      </c>
    </row>
    <row r="48" ht="34.5" customHeight="1">
      <c r="A48" s="16" t="s">
        <v>2717</v>
      </c>
      <c r="B48" s="16" t="str">
        <f>IMAGE("https://lmztiles.s3.eu-west-1.amazonaws.com/Modern_Interiors_v41.3.4/1_Interiors/16x16/Theme_Sorter_Singles/14_Basement_Singles/Basement_Singles_48.png")</f>
        <v/>
      </c>
    </row>
    <row r="49" ht="34.5" customHeight="1">
      <c r="A49" s="16" t="s">
        <v>2718</v>
      </c>
      <c r="B49" s="16" t="str">
        <f>IMAGE("https://lmztiles.s3.eu-west-1.amazonaws.com/Modern_Interiors_v41.3.4/1_Interiors/16x16/Theme_Sorter_Singles/14_Basement_Singles/Basement_Singles_49.png")</f>
        <v/>
      </c>
    </row>
    <row r="50" ht="34.5" customHeight="1">
      <c r="A50" s="16" t="s">
        <v>2719</v>
      </c>
      <c r="B50" s="16" t="str">
        <f>IMAGE("https://lmztiles.s3.eu-west-1.amazonaws.com/Modern_Interiors_v41.3.4/1_Interiors/16x16/Theme_Sorter_Singles/14_Basement_Singles/Basement_Singles_50.png")</f>
        <v/>
      </c>
    </row>
    <row r="51" ht="34.5" customHeight="1">
      <c r="A51" s="16" t="s">
        <v>2720</v>
      </c>
      <c r="B51" s="16" t="str">
        <f>IMAGE("https://lmztiles.s3.eu-west-1.amazonaws.com/Modern_Interiors_v41.3.4/1_Interiors/16x16/Theme_Sorter_Singles/14_Basement_Singles/Basement_Singles_51.png")</f>
        <v/>
      </c>
    </row>
    <row r="52" ht="34.5" customHeight="1">
      <c r="A52" s="16" t="s">
        <v>2721</v>
      </c>
      <c r="B52" s="16" t="str">
        <f>IMAGE("https://lmztiles.s3.eu-west-1.amazonaws.com/Modern_Interiors_v41.3.4/1_Interiors/16x16/Theme_Sorter_Singles/14_Basement_Singles/Basement_Singles_52.png")</f>
        <v/>
      </c>
    </row>
    <row r="53" ht="34.5" customHeight="1">
      <c r="A53" s="16" t="s">
        <v>2722</v>
      </c>
      <c r="B53" s="16" t="str">
        <f>IMAGE("https://lmztiles.s3.eu-west-1.amazonaws.com/Modern_Interiors_v41.3.4/1_Interiors/16x16/Theme_Sorter_Singles/14_Basement_Singles/Basement_Singles_53.png")</f>
        <v/>
      </c>
    </row>
    <row r="54" ht="34.5" customHeight="1">
      <c r="A54" s="16" t="s">
        <v>2723</v>
      </c>
      <c r="B54" s="16" t="str">
        <f>IMAGE("https://lmztiles.s3.eu-west-1.amazonaws.com/Modern_Interiors_v41.3.4/1_Interiors/16x16/Theme_Sorter_Singles/14_Basement_Singles/Basement_Singles_54.png")</f>
        <v/>
      </c>
    </row>
    <row r="55" ht="34.5" customHeight="1">
      <c r="A55" s="16" t="s">
        <v>2724</v>
      </c>
      <c r="B55" s="16" t="str">
        <f>IMAGE("https://lmztiles.s3.eu-west-1.amazonaws.com/Modern_Interiors_v41.3.4/1_Interiors/16x16/Theme_Sorter_Singles/14_Basement_Singles/Basement_Singles_55.png")</f>
        <v/>
      </c>
    </row>
    <row r="56" ht="34.5" customHeight="1">
      <c r="A56" s="16" t="s">
        <v>2725</v>
      </c>
      <c r="B56" s="16" t="str">
        <f>IMAGE("https://lmztiles.s3.eu-west-1.amazonaws.com/Modern_Interiors_v41.3.4/1_Interiors/16x16/Theme_Sorter_Singles/14_Basement_Singles/Basement_Singles_56.png")</f>
        <v/>
      </c>
    </row>
    <row r="57" ht="34.5" customHeight="1">
      <c r="A57" s="16" t="s">
        <v>2726</v>
      </c>
      <c r="B57" s="16" t="str">
        <f>IMAGE("https://lmztiles.s3.eu-west-1.amazonaws.com/Modern_Interiors_v41.3.4/1_Interiors/16x16/Theme_Sorter_Singles/14_Basement_Singles/Basement_Singles_57.png")</f>
        <v/>
      </c>
    </row>
    <row r="58" ht="34.5" customHeight="1">
      <c r="A58" s="16" t="s">
        <v>2727</v>
      </c>
      <c r="B58" s="16" t="str">
        <f>IMAGE("https://lmztiles.s3.eu-west-1.amazonaws.com/Modern_Interiors_v41.3.4/1_Interiors/16x16/Theme_Sorter_Singles/14_Basement_Singles/Basement_Singles_58.png")</f>
        <v/>
      </c>
    </row>
    <row r="59" ht="34.5" customHeight="1">
      <c r="A59" s="16" t="s">
        <v>2728</v>
      </c>
      <c r="B59" s="16" t="str">
        <f>IMAGE("https://lmztiles.s3.eu-west-1.amazonaws.com/Modern_Interiors_v41.3.4/1_Interiors/16x16/Theme_Sorter_Singles/14_Basement_Singles/Basement_Singles_59.png")</f>
        <v/>
      </c>
    </row>
    <row r="60" ht="34.5" customHeight="1">
      <c r="A60" s="16" t="s">
        <v>2729</v>
      </c>
      <c r="B60" s="16" t="str">
        <f>IMAGE("https://lmztiles.s3.eu-west-1.amazonaws.com/Modern_Interiors_v41.3.4/1_Interiors/16x16/Theme_Sorter_Singles/14_Basement_Singles/Basement_Singles_60.png")</f>
        <v/>
      </c>
    </row>
    <row r="61" ht="34.5" customHeight="1">
      <c r="A61" s="16" t="s">
        <v>2730</v>
      </c>
      <c r="B61" s="16" t="str">
        <f>IMAGE("https://lmztiles.s3.eu-west-1.amazonaws.com/Modern_Interiors_v41.3.4/1_Interiors/16x16/Theme_Sorter_Singles/14_Basement_Singles/Basement_Singles_61.png")</f>
        <v/>
      </c>
    </row>
    <row r="62" ht="34.5" customHeight="1">
      <c r="A62" s="16" t="s">
        <v>2731</v>
      </c>
      <c r="B62" s="16" t="str">
        <f>IMAGE("https://lmztiles.s3.eu-west-1.amazonaws.com/Modern_Interiors_v41.3.4/1_Interiors/16x16/Theme_Sorter_Singles/14_Basement_Singles/Basement_Singles_62.png")</f>
        <v/>
      </c>
    </row>
    <row r="63" ht="34.5" customHeight="1">
      <c r="A63" s="16" t="s">
        <v>2732</v>
      </c>
      <c r="B63" s="16" t="str">
        <f>IMAGE("https://lmztiles.s3.eu-west-1.amazonaws.com/Modern_Interiors_v41.3.4/1_Interiors/16x16/Theme_Sorter_Singles/14_Basement_Singles/Basement_Singles_63.png")</f>
        <v/>
      </c>
    </row>
    <row r="64" ht="34.5" customHeight="1">
      <c r="A64" s="16" t="s">
        <v>2733</v>
      </c>
      <c r="B64" s="16" t="str">
        <f>IMAGE("https://lmztiles.s3.eu-west-1.amazonaws.com/Modern_Interiors_v41.3.4/1_Interiors/16x16/Theme_Sorter_Singles/14_Basement_Singles/Basement_Singles_64.png")</f>
        <v/>
      </c>
    </row>
    <row r="65" ht="34.5" customHeight="1">
      <c r="A65" s="16" t="s">
        <v>2734</v>
      </c>
      <c r="B65" s="16" t="str">
        <f>IMAGE("https://lmztiles.s3.eu-west-1.amazonaws.com/Modern_Interiors_v41.3.4/1_Interiors/16x16/Theme_Sorter_Singles/14_Basement_Singles/Basement_Singles_65.png")</f>
        <v/>
      </c>
    </row>
    <row r="66" ht="34.5" customHeight="1">
      <c r="A66" s="16" t="s">
        <v>2735</v>
      </c>
      <c r="B66" s="16" t="str">
        <f>IMAGE("https://lmztiles.s3.eu-west-1.amazonaws.com/Modern_Interiors_v41.3.4/1_Interiors/16x16/Theme_Sorter_Singles/14_Basement_Singles/Basement_Singles_66.png")</f>
        <v/>
      </c>
    </row>
    <row r="67" ht="34.5" customHeight="1">
      <c r="A67" s="16" t="s">
        <v>2736</v>
      </c>
      <c r="B67" s="16" t="str">
        <f>IMAGE("https://lmztiles.s3.eu-west-1.amazonaws.com/Modern_Interiors_v41.3.4/1_Interiors/16x16/Theme_Sorter_Singles/14_Basement_Singles/Basement_Singles_67.png")</f>
        <v/>
      </c>
    </row>
    <row r="68" ht="34.5" customHeight="1">
      <c r="A68" s="16" t="s">
        <v>2737</v>
      </c>
      <c r="B68" s="16" t="str">
        <f>IMAGE("https://lmztiles.s3.eu-west-1.amazonaws.com/Modern_Interiors_v41.3.4/1_Interiors/16x16/Theme_Sorter_Singles/14_Basement_Singles/Basement_Singles_68.png")</f>
        <v/>
      </c>
    </row>
    <row r="69" ht="34.5" customHeight="1">
      <c r="A69" s="16" t="s">
        <v>2738</v>
      </c>
      <c r="B69" s="16" t="str">
        <f>IMAGE("https://lmztiles.s3.eu-west-1.amazonaws.com/Modern_Interiors_v41.3.4/1_Interiors/16x16/Theme_Sorter_Singles/14_Basement_Singles/Basement_Singles_69.png")</f>
        <v/>
      </c>
    </row>
    <row r="70" ht="34.5" customHeight="1">
      <c r="A70" s="16" t="s">
        <v>2739</v>
      </c>
      <c r="B70" s="16" t="str">
        <f>IMAGE("https://lmztiles.s3.eu-west-1.amazonaws.com/Modern_Interiors_v41.3.4/1_Interiors/16x16/Theme_Sorter_Singles/14_Basement_Singles/Basement_Singles_70.png")</f>
        <v/>
      </c>
    </row>
    <row r="71" ht="34.5" customHeight="1">
      <c r="A71" s="16" t="s">
        <v>2740</v>
      </c>
      <c r="B71" s="16" t="str">
        <f>IMAGE("https://lmztiles.s3.eu-west-1.amazonaws.com/Modern_Interiors_v41.3.4/1_Interiors/16x16/Theme_Sorter_Singles/14_Basement_Singles/Basement_Singles_71.png")</f>
        <v/>
      </c>
    </row>
    <row r="72" ht="34.5" customHeight="1">
      <c r="A72" s="16" t="s">
        <v>2741</v>
      </c>
      <c r="B72" s="16" t="str">
        <f>IMAGE("https://lmztiles.s3.eu-west-1.amazonaws.com/Modern_Interiors_v41.3.4/1_Interiors/16x16/Theme_Sorter_Singles/14_Basement_Singles/Basement_Singles_72.png")</f>
        <v/>
      </c>
    </row>
    <row r="73" ht="34.5" customHeight="1">
      <c r="A73" s="16" t="s">
        <v>2742</v>
      </c>
      <c r="B73" s="16" t="str">
        <f>IMAGE("https://lmztiles.s3.eu-west-1.amazonaws.com/Modern_Interiors_v41.3.4/1_Interiors/16x16/Theme_Sorter_Singles/14_Basement_Singles/Basement_Singles_73.png")</f>
        <v/>
      </c>
    </row>
    <row r="74" ht="34.5" customHeight="1">
      <c r="A74" s="16" t="s">
        <v>2743</v>
      </c>
      <c r="B74" s="16" t="str">
        <f>IMAGE("https://lmztiles.s3.eu-west-1.amazonaws.com/Modern_Interiors_v41.3.4/1_Interiors/16x16/Theme_Sorter_Singles/14_Basement_Singles/Basement_Singles_74.png")</f>
        <v/>
      </c>
    </row>
    <row r="75" ht="34.5" customHeight="1">
      <c r="A75" s="16" t="s">
        <v>2744</v>
      </c>
      <c r="B75" s="16" t="str">
        <f>IMAGE("https://lmztiles.s3.eu-west-1.amazonaws.com/Modern_Interiors_v41.3.4/1_Interiors/16x16/Theme_Sorter_Singles/14_Basement_Singles/Basement_Singles_75.png")</f>
        <v/>
      </c>
    </row>
    <row r="76" ht="34.5" customHeight="1">
      <c r="A76" s="16" t="s">
        <v>2745</v>
      </c>
      <c r="B76" s="16" t="str">
        <f>IMAGE("https://lmztiles.s3.eu-west-1.amazonaws.com/Modern_Interiors_v41.3.4/1_Interiors/16x16/Theme_Sorter_Singles/14_Basement_Singles/Basement_Singles_76.png")</f>
        <v/>
      </c>
    </row>
    <row r="77" ht="34.5" customHeight="1">
      <c r="A77" s="16" t="s">
        <v>2746</v>
      </c>
      <c r="B77" s="16" t="str">
        <f>IMAGE("https://lmztiles.s3.eu-west-1.amazonaws.com/Modern_Interiors_v41.3.4/1_Interiors/16x16/Theme_Sorter_Singles/14_Basement_Singles/Basement_Singles_77.png")</f>
        <v/>
      </c>
    </row>
    <row r="78" ht="34.5" customHeight="1">
      <c r="A78" s="16" t="s">
        <v>2747</v>
      </c>
      <c r="B78" s="16" t="str">
        <f>IMAGE("https://lmztiles.s3.eu-west-1.amazonaws.com/Modern_Interiors_v41.3.4/1_Interiors/16x16/Theme_Sorter_Singles/14_Basement_Singles/Basement_Singles_78.png")</f>
        <v/>
      </c>
    </row>
    <row r="79" ht="34.5" customHeight="1">
      <c r="A79" s="16" t="s">
        <v>2748</v>
      </c>
      <c r="B79" s="16" t="str">
        <f>IMAGE("https://lmztiles.s3.eu-west-1.amazonaws.com/Modern_Interiors_v41.3.4/1_Interiors/16x16/Theme_Sorter_Singles/14_Basement_Singles/Basement_Singles_79.png")</f>
        <v/>
      </c>
    </row>
    <row r="80" ht="34.5" customHeight="1">
      <c r="A80" s="16" t="s">
        <v>2749</v>
      </c>
      <c r="B80" s="16" t="str">
        <f>IMAGE("https://lmztiles.s3.eu-west-1.amazonaws.com/Modern_Interiors_v41.3.4/1_Interiors/16x16/Theme_Sorter_Singles/14_Basement_Singles/Basement_Singles_80.png")</f>
        <v/>
      </c>
    </row>
    <row r="81" ht="34.5" customHeight="1">
      <c r="A81" s="16" t="s">
        <v>2750</v>
      </c>
      <c r="B81" s="16" t="str">
        <f>IMAGE("https://lmztiles.s3.eu-west-1.amazonaws.com/Modern_Interiors_v41.3.4/1_Interiors/16x16/Theme_Sorter_Singles/14_Basement_Singles/Basement_Singles_81.png")</f>
        <v/>
      </c>
    </row>
    <row r="82" ht="34.5" customHeight="1">
      <c r="A82" s="16" t="s">
        <v>2751</v>
      </c>
      <c r="B82" s="16" t="str">
        <f>IMAGE("https://lmztiles.s3.eu-west-1.amazonaws.com/Modern_Interiors_v41.3.4/1_Interiors/16x16/Theme_Sorter_Singles/14_Basement_Singles/Basement_Singles_82.png")</f>
        <v/>
      </c>
    </row>
    <row r="83" ht="34.5" customHeight="1">
      <c r="A83" s="16" t="s">
        <v>2752</v>
      </c>
      <c r="B83" s="16" t="str">
        <f>IMAGE("https://lmztiles.s3.eu-west-1.amazonaws.com/Modern_Interiors_v41.3.4/1_Interiors/16x16/Theme_Sorter_Singles/14_Basement_Singles/Basement_Singles_83.png")</f>
        <v/>
      </c>
    </row>
    <row r="84" ht="34.5" customHeight="1">
      <c r="A84" s="16" t="s">
        <v>2753</v>
      </c>
      <c r="B84" s="16" t="str">
        <f>IMAGE("https://lmztiles.s3.eu-west-1.amazonaws.com/Modern_Interiors_v41.3.4/1_Interiors/16x16/Theme_Sorter_Singles/14_Basement_Singles/Basement_Singles_84.png")</f>
        <v/>
      </c>
    </row>
    <row r="85" ht="34.5" customHeight="1">
      <c r="A85" s="16" t="s">
        <v>2754</v>
      </c>
      <c r="B85" s="16" t="str">
        <f>IMAGE("https://lmztiles.s3.eu-west-1.amazonaws.com/Modern_Interiors_v41.3.4/1_Interiors/16x16/Theme_Sorter_Singles/14_Basement_Singles/Basement_Singles_85.png")</f>
        <v/>
      </c>
    </row>
    <row r="86" ht="34.5" customHeight="1">
      <c r="A86" s="16" t="s">
        <v>2755</v>
      </c>
      <c r="B86" s="16" t="str">
        <f>IMAGE("https://lmztiles.s3.eu-west-1.amazonaws.com/Modern_Interiors_v41.3.4/1_Interiors/16x16/Theme_Sorter_Singles/14_Basement_Singles/Basement_Singles_86.png")</f>
        <v/>
      </c>
    </row>
    <row r="87" ht="34.5" customHeight="1">
      <c r="A87" s="16" t="s">
        <v>2756</v>
      </c>
      <c r="B87" s="16" t="str">
        <f>IMAGE("https://lmztiles.s3.eu-west-1.amazonaws.com/Modern_Interiors_v41.3.4/1_Interiors/16x16/Theme_Sorter_Singles/14_Basement_Singles/Basement_Singles_87.png")</f>
        <v/>
      </c>
    </row>
    <row r="88" ht="34.5" customHeight="1">
      <c r="A88" s="16" t="s">
        <v>2757</v>
      </c>
      <c r="B88" s="16" t="str">
        <f>IMAGE("https://lmztiles.s3.eu-west-1.amazonaws.com/Modern_Interiors_v41.3.4/1_Interiors/16x16/Theme_Sorter_Singles/14_Basement_Singles/Basement_Singles_88.png")</f>
        <v/>
      </c>
    </row>
    <row r="89" ht="34.5" customHeight="1">
      <c r="A89" s="16" t="s">
        <v>2758</v>
      </c>
      <c r="B89" s="16" t="str">
        <f>IMAGE("https://lmztiles.s3.eu-west-1.amazonaws.com/Modern_Interiors_v41.3.4/1_Interiors/16x16/Theme_Sorter_Singles/14_Basement_Singles/Basement_Singles_89.png")</f>
        <v/>
      </c>
    </row>
    <row r="90" ht="34.5" customHeight="1">
      <c r="A90" s="16" t="s">
        <v>2759</v>
      </c>
      <c r="B90" s="16" t="str">
        <f>IMAGE("https://lmztiles.s3.eu-west-1.amazonaws.com/Modern_Interiors_v41.3.4/1_Interiors/16x16/Theme_Sorter_Singles/14_Basement_Singles/Basement_Singles_90.png")</f>
        <v/>
      </c>
    </row>
    <row r="91" ht="34.5" customHeight="1">
      <c r="A91" s="16" t="s">
        <v>2760</v>
      </c>
      <c r="B91" s="16" t="str">
        <f>IMAGE("https://lmztiles.s3.eu-west-1.amazonaws.com/Modern_Interiors_v41.3.4/1_Interiors/16x16/Theme_Sorter_Singles/14_Basement_Singles/Basement_Singles_91.png")</f>
        <v/>
      </c>
    </row>
    <row r="92" ht="34.5" customHeight="1">
      <c r="A92" s="16" t="s">
        <v>2761</v>
      </c>
      <c r="B92" s="16" t="str">
        <f>IMAGE("https://lmztiles.s3.eu-west-1.amazonaws.com/Modern_Interiors_v41.3.4/1_Interiors/16x16/Theme_Sorter_Singles/14_Basement_Singles/Basement_Singles_92.png")</f>
        <v/>
      </c>
    </row>
    <row r="93" ht="34.5" customHeight="1">
      <c r="A93" s="16" t="s">
        <v>2762</v>
      </c>
      <c r="B93" s="16" t="str">
        <f>IMAGE("https://lmztiles.s3.eu-west-1.amazonaws.com/Modern_Interiors_v41.3.4/1_Interiors/16x16/Theme_Sorter_Singles/14_Basement_Singles/Basement_Singles_93.png")</f>
        <v/>
      </c>
    </row>
    <row r="94" ht="34.5" customHeight="1">
      <c r="A94" s="16" t="s">
        <v>2763</v>
      </c>
      <c r="B94" s="16" t="str">
        <f>IMAGE("https://lmztiles.s3.eu-west-1.amazonaws.com/Modern_Interiors_v41.3.4/1_Interiors/16x16/Theme_Sorter_Singles/14_Basement_Singles/Basement_Singles_94.png")</f>
        <v/>
      </c>
    </row>
    <row r="95" ht="34.5" customHeight="1">
      <c r="A95" s="16" t="s">
        <v>2764</v>
      </c>
      <c r="B95" s="16" t="str">
        <f>IMAGE("https://lmztiles.s3.eu-west-1.amazonaws.com/Modern_Interiors_v41.3.4/1_Interiors/16x16/Theme_Sorter_Singles/14_Basement_Singles/Basement_Singles_95.png")</f>
        <v/>
      </c>
    </row>
    <row r="96" ht="34.5" customHeight="1">
      <c r="A96" s="16" t="s">
        <v>2765</v>
      </c>
      <c r="B96" s="16" t="str">
        <f>IMAGE("https://lmztiles.s3.eu-west-1.amazonaws.com/Modern_Interiors_v41.3.4/1_Interiors/16x16/Theme_Sorter_Singles/14_Basement_Singles/Basement_Singles_96.png")</f>
        <v/>
      </c>
    </row>
    <row r="97" ht="34.5" customHeight="1">
      <c r="A97" s="16" t="s">
        <v>2766</v>
      </c>
      <c r="B97" s="16" t="str">
        <f>IMAGE("https://lmztiles.s3.eu-west-1.amazonaws.com/Modern_Interiors_v41.3.4/1_Interiors/16x16/Theme_Sorter_Singles/14_Basement_Singles/Basement_Singles_97.png")</f>
        <v/>
      </c>
    </row>
    <row r="98" ht="34.5" customHeight="1">
      <c r="A98" s="16" t="s">
        <v>2767</v>
      </c>
      <c r="B98" s="16" t="str">
        <f>IMAGE("https://lmztiles.s3.eu-west-1.amazonaws.com/Modern_Interiors_v41.3.4/1_Interiors/16x16/Theme_Sorter_Singles/14_Basement_Singles/Basement_Singles_98.png")</f>
        <v/>
      </c>
    </row>
    <row r="99" ht="34.5" customHeight="1">
      <c r="A99" s="16" t="s">
        <v>2768</v>
      </c>
      <c r="B99" s="16" t="str">
        <f>IMAGE("https://lmztiles.s3.eu-west-1.amazonaws.com/Modern_Interiors_v41.3.4/1_Interiors/16x16/Theme_Sorter_Singles/14_Basement_Singles/Basement_Singles_99.png")</f>
        <v/>
      </c>
    </row>
    <row r="100" ht="34.5" customHeight="1">
      <c r="A100" s="16" t="s">
        <v>2769</v>
      </c>
      <c r="B100" s="16" t="str">
        <f>IMAGE("https://lmztiles.s3.eu-west-1.amazonaws.com/Modern_Interiors_v41.3.4/1_Interiors/16x16/Theme_Sorter_Singles/14_Basement_Singles/Basement_Singles_100.png")</f>
        <v/>
      </c>
    </row>
    <row r="101" ht="34.5" customHeight="1">
      <c r="A101" s="16" t="s">
        <v>2770</v>
      </c>
      <c r="B101" s="16" t="str">
        <f>IMAGE("https://lmztiles.s3.eu-west-1.amazonaws.com/Modern_Interiors_v41.3.4/1_Interiors/16x16/Theme_Sorter_Singles/14_Basement_Singles/Basement_Singles_101.png")</f>
        <v/>
      </c>
    </row>
    <row r="102" ht="34.5" customHeight="1">
      <c r="A102" s="16" t="s">
        <v>2771</v>
      </c>
      <c r="B102" s="16" t="str">
        <f>IMAGE("https://lmztiles.s3.eu-west-1.amazonaws.com/Modern_Interiors_v41.3.4/1_Interiors/16x16/Theme_Sorter_Singles/14_Basement_Singles/Basement_Singles_102.png")</f>
        <v/>
      </c>
    </row>
    <row r="103" ht="34.5" customHeight="1">
      <c r="A103" s="16" t="s">
        <v>2772</v>
      </c>
      <c r="B103" s="16" t="str">
        <f>IMAGE("https://lmztiles.s3.eu-west-1.amazonaws.com/Modern_Interiors_v41.3.4/1_Interiors/16x16/Theme_Sorter_Singles/14_Basement_Singles/Basement_Singles_103.png")</f>
        <v/>
      </c>
    </row>
    <row r="104" ht="34.5" customHeight="1">
      <c r="A104" s="16" t="s">
        <v>2773</v>
      </c>
      <c r="B104" s="16" t="str">
        <f>IMAGE("https://lmztiles.s3.eu-west-1.amazonaws.com/Modern_Interiors_v41.3.4/1_Interiors/16x16/Theme_Sorter_Singles/14_Basement_Singles/Basement_Singles_104.png")</f>
        <v/>
      </c>
    </row>
    <row r="105" ht="34.5" customHeight="1">
      <c r="A105" s="16" t="s">
        <v>2774</v>
      </c>
      <c r="B105" s="16" t="str">
        <f>IMAGE("https://lmztiles.s3.eu-west-1.amazonaws.com/Modern_Interiors_v41.3.4/1_Interiors/16x16/Theme_Sorter_Singles/14_Basement_Singles/Basement_Singles_105.png")</f>
        <v/>
      </c>
    </row>
    <row r="106" ht="34.5" customHeight="1">
      <c r="A106" s="16" t="s">
        <v>2775</v>
      </c>
      <c r="B106" s="16" t="str">
        <f>IMAGE("https://lmztiles.s3.eu-west-1.amazonaws.com/Modern_Interiors_v41.3.4/1_Interiors/16x16/Theme_Sorter_Singles/14_Basement_Singles/Basement_Singles_106.png")</f>
        <v/>
      </c>
    </row>
    <row r="107" ht="34.5" customHeight="1">
      <c r="A107" s="16" t="s">
        <v>2776</v>
      </c>
      <c r="B107" s="16" t="str">
        <f>IMAGE("https://lmztiles.s3.eu-west-1.amazonaws.com/Modern_Interiors_v41.3.4/1_Interiors/16x16/Theme_Sorter_Singles/14_Basement_Singles/Basement_Singles_107.png")</f>
        <v/>
      </c>
    </row>
    <row r="108" ht="34.5" customHeight="1">
      <c r="A108" s="16" t="s">
        <v>2777</v>
      </c>
      <c r="B108" s="16" t="str">
        <f>IMAGE("https://lmztiles.s3.eu-west-1.amazonaws.com/Modern_Interiors_v41.3.4/1_Interiors/16x16/Theme_Sorter_Singles/14_Basement_Singles/Basement_Singles_108.png")</f>
        <v/>
      </c>
    </row>
    <row r="109" ht="34.5" customHeight="1">
      <c r="A109" s="16" t="s">
        <v>2778</v>
      </c>
      <c r="B109" s="16" t="str">
        <f>IMAGE("https://lmztiles.s3.eu-west-1.amazonaws.com/Modern_Interiors_v41.3.4/1_Interiors/16x16/Theme_Sorter_Singles/14_Basement_Singles/Basement_Singles_109.png")</f>
        <v/>
      </c>
    </row>
    <row r="110" ht="34.5" customHeight="1">
      <c r="A110" s="16" t="s">
        <v>2779</v>
      </c>
      <c r="B110" s="16" t="str">
        <f>IMAGE("https://lmztiles.s3.eu-west-1.amazonaws.com/Modern_Interiors_v41.3.4/1_Interiors/16x16/Theme_Sorter_Singles/14_Basement_Singles/Basement_Singles_110.png")</f>
        <v/>
      </c>
    </row>
    <row r="111" ht="34.5" customHeight="1">
      <c r="A111" s="16" t="s">
        <v>2780</v>
      </c>
      <c r="B111" s="16" t="str">
        <f>IMAGE("https://lmztiles.s3.eu-west-1.amazonaws.com/Modern_Interiors_v41.3.4/1_Interiors/16x16/Theme_Sorter_Singles/14_Basement_Singles/Basement_Singles_111.png")</f>
        <v/>
      </c>
    </row>
    <row r="112" ht="34.5" customHeight="1">
      <c r="A112" s="16" t="s">
        <v>2781</v>
      </c>
      <c r="B112" s="16" t="str">
        <f>IMAGE("https://lmztiles.s3.eu-west-1.amazonaws.com/Modern_Interiors_v41.3.4/1_Interiors/16x16/Theme_Sorter_Singles/14_Basement_Singles/Basement_Singles_112.png")</f>
        <v/>
      </c>
    </row>
    <row r="113" ht="34.5" customHeight="1">
      <c r="A113" s="16" t="s">
        <v>2782</v>
      </c>
      <c r="B113" s="16" t="str">
        <f>IMAGE("https://lmztiles.s3.eu-west-1.amazonaws.com/Modern_Interiors_v41.3.4/1_Interiors/16x16/Theme_Sorter_Singles/14_Basement_Singles/Basement_Singles_113.png")</f>
        <v/>
      </c>
    </row>
    <row r="114" ht="34.5" customHeight="1">
      <c r="A114" s="16" t="s">
        <v>2783</v>
      </c>
      <c r="B114" s="16" t="str">
        <f>IMAGE("https://lmztiles.s3.eu-west-1.amazonaws.com/Modern_Interiors_v41.3.4/1_Interiors/16x16/Theme_Sorter_Singles/14_Basement_Singles/Basement_Singles_114.png")</f>
        <v/>
      </c>
    </row>
    <row r="115" ht="34.5" customHeight="1">
      <c r="A115" s="16" t="s">
        <v>2784</v>
      </c>
      <c r="B115" s="16" t="str">
        <f>IMAGE("https://lmztiles.s3.eu-west-1.amazonaws.com/Modern_Interiors_v41.3.4/1_Interiors/16x16/Theme_Sorter_Singles/14_Basement_Singles/Basement_Singles_115.png")</f>
        <v/>
      </c>
    </row>
    <row r="116" ht="34.5" customHeight="1">
      <c r="A116" s="16" t="s">
        <v>2785</v>
      </c>
      <c r="B116" s="16" t="str">
        <f>IMAGE("https://lmztiles.s3.eu-west-1.amazonaws.com/Modern_Interiors_v41.3.4/1_Interiors/16x16/Theme_Sorter_Singles/14_Basement_Singles/Basement_Singles_116.png")</f>
        <v/>
      </c>
    </row>
    <row r="117" ht="34.5" customHeight="1">
      <c r="A117" s="16" t="s">
        <v>2786</v>
      </c>
      <c r="B117" s="16" t="str">
        <f>IMAGE("https://lmztiles.s3.eu-west-1.amazonaws.com/Modern_Interiors_v41.3.4/1_Interiors/16x16/Theme_Sorter_Singles/14_Basement_Singles/Basement_Singles_117.png")</f>
        <v/>
      </c>
    </row>
    <row r="118" ht="34.5" customHeight="1">
      <c r="A118" s="16" t="s">
        <v>2787</v>
      </c>
      <c r="B118" s="16" t="str">
        <f>IMAGE("https://lmztiles.s3.eu-west-1.amazonaws.com/Modern_Interiors_v41.3.4/1_Interiors/16x16/Theme_Sorter_Singles/14_Basement_Singles/Basement_Singles_118.png")</f>
        <v/>
      </c>
    </row>
    <row r="119" ht="34.5" customHeight="1">
      <c r="A119" s="16" t="s">
        <v>2788</v>
      </c>
      <c r="B119" s="16" t="str">
        <f>IMAGE("https://lmztiles.s3.eu-west-1.amazonaws.com/Modern_Interiors_v41.3.4/1_Interiors/16x16/Theme_Sorter_Singles/14_Basement_Singles/Basement_Singles_119.png")</f>
        <v/>
      </c>
    </row>
    <row r="120" ht="34.5" customHeight="1">
      <c r="A120" s="16" t="s">
        <v>2789</v>
      </c>
      <c r="B120" s="16" t="str">
        <f>IMAGE("https://lmztiles.s3.eu-west-1.amazonaws.com/Modern_Interiors_v41.3.4/1_Interiors/16x16/Theme_Sorter_Singles/14_Basement_Singles/Basement_Singles_120.png")</f>
        <v/>
      </c>
    </row>
    <row r="121" ht="34.5" customHeight="1">
      <c r="A121" s="16" t="s">
        <v>2790</v>
      </c>
      <c r="B121" s="16" t="str">
        <f>IMAGE("https://lmztiles.s3.eu-west-1.amazonaws.com/Modern_Interiors_v41.3.4/1_Interiors/16x16/Theme_Sorter_Singles/14_Basement_Singles/Basement_Singles_121.png")</f>
        <v/>
      </c>
    </row>
    <row r="122" ht="34.5" customHeight="1">
      <c r="A122" s="16" t="s">
        <v>2791</v>
      </c>
      <c r="B122" s="16" t="str">
        <f>IMAGE("https://lmztiles.s3.eu-west-1.amazonaws.com/Modern_Interiors_v41.3.4/1_Interiors/16x16/Theme_Sorter_Singles/14_Basement_Singles/Basement_Singles_122.png")</f>
        <v/>
      </c>
    </row>
    <row r="123" ht="34.5" customHeight="1">
      <c r="A123" s="16" t="s">
        <v>2792</v>
      </c>
      <c r="B123" s="16" t="str">
        <f>IMAGE("https://lmztiles.s3.eu-west-1.amazonaws.com/Modern_Interiors_v41.3.4/1_Interiors/16x16/Theme_Sorter_Singles/14_Basement_Singles/Basement_Singles_123.png")</f>
        <v/>
      </c>
    </row>
    <row r="124" ht="34.5" customHeight="1">
      <c r="A124" s="16" t="s">
        <v>2793</v>
      </c>
      <c r="B124" s="16" t="str">
        <f>IMAGE("https://lmztiles.s3.eu-west-1.amazonaws.com/Modern_Interiors_v41.3.4/1_Interiors/16x16/Theme_Sorter_Singles/14_Basement_Singles/Basement_Singles_124.png")</f>
        <v/>
      </c>
    </row>
    <row r="125" ht="34.5" customHeight="1">
      <c r="A125" s="16" t="s">
        <v>2794</v>
      </c>
      <c r="B125" s="16" t="str">
        <f>IMAGE("https://lmztiles.s3.eu-west-1.amazonaws.com/Modern_Interiors_v41.3.4/1_Interiors/16x16/Theme_Sorter_Singles/14_Basement_Singles/Basement_Singles_125.png")</f>
        <v/>
      </c>
    </row>
    <row r="126" ht="34.5" customHeight="1">
      <c r="A126" s="16" t="s">
        <v>2795</v>
      </c>
      <c r="B126" s="16" t="str">
        <f>IMAGE("https://lmztiles.s3.eu-west-1.amazonaws.com/Modern_Interiors_v41.3.4/1_Interiors/16x16/Theme_Sorter_Singles/14_Basement_Singles/Basement_Singles_126.png")</f>
        <v/>
      </c>
    </row>
    <row r="127" ht="34.5" customHeight="1">
      <c r="A127" s="16" t="s">
        <v>2796</v>
      </c>
      <c r="B127" s="16" t="str">
        <f>IMAGE("https://lmztiles.s3.eu-west-1.amazonaws.com/Modern_Interiors_v41.3.4/1_Interiors/16x16/Theme_Sorter_Singles/14_Basement_Singles/Basement_Singles_127.png")</f>
        <v/>
      </c>
    </row>
    <row r="128" ht="34.5" customHeight="1">
      <c r="A128" s="16" t="s">
        <v>2797</v>
      </c>
      <c r="B128" s="16" t="str">
        <f>IMAGE("https://lmztiles.s3.eu-west-1.amazonaws.com/Modern_Interiors_v41.3.4/1_Interiors/16x16/Theme_Sorter_Singles/14_Basement_Singles/Basement_Singles_128.png")</f>
        <v/>
      </c>
    </row>
    <row r="129" ht="34.5" customHeight="1">
      <c r="A129" s="16" t="s">
        <v>2798</v>
      </c>
      <c r="B129" s="16" t="str">
        <f>IMAGE("https://lmztiles.s3.eu-west-1.amazonaws.com/Modern_Interiors_v41.3.4/1_Interiors/16x16/Theme_Sorter_Singles/14_Basement_Singles/Basement_Singles_129.png")</f>
        <v/>
      </c>
    </row>
    <row r="130" ht="34.5" customHeight="1">
      <c r="A130" s="16" t="s">
        <v>2799</v>
      </c>
      <c r="B130" s="16" t="str">
        <f>IMAGE("https://lmztiles.s3.eu-west-1.amazonaws.com/Modern_Interiors_v41.3.4/1_Interiors/16x16/Theme_Sorter_Singles/14_Basement_Singles/Basement_Singles_130.png")</f>
        <v/>
      </c>
    </row>
    <row r="131" ht="34.5" customHeight="1">
      <c r="A131" s="16" t="s">
        <v>2800</v>
      </c>
      <c r="B131" s="16" t="str">
        <f>IMAGE("https://lmztiles.s3.eu-west-1.amazonaws.com/Modern_Interiors_v41.3.4/1_Interiors/16x16/Theme_Sorter_Singles/14_Basement_Singles/Basement_Singles_131.png")</f>
        <v/>
      </c>
    </row>
    <row r="132" ht="34.5" customHeight="1">
      <c r="A132" s="16" t="s">
        <v>2801</v>
      </c>
      <c r="B132" s="16" t="str">
        <f>IMAGE("https://lmztiles.s3.eu-west-1.amazonaws.com/Modern_Interiors_v41.3.4/1_Interiors/16x16/Theme_Sorter_Singles/14_Basement_Singles/Basement_Singles_132.png")</f>
        <v/>
      </c>
    </row>
    <row r="133" ht="34.5" customHeight="1">
      <c r="A133" s="16" t="s">
        <v>2802</v>
      </c>
      <c r="B133" s="16" t="str">
        <f>IMAGE("https://lmztiles.s3.eu-west-1.amazonaws.com/Modern_Interiors_v41.3.4/1_Interiors/16x16/Theme_Sorter_Singles/14_Basement_Singles/Basement_Singles_133.png")</f>
        <v/>
      </c>
    </row>
    <row r="134" ht="34.5" customHeight="1">
      <c r="A134" s="16" t="s">
        <v>2803</v>
      </c>
      <c r="B134" s="16" t="str">
        <f>IMAGE("https://lmztiles.s3.eu-west-1.amazonaws.com/Modern_Interiors_v41.3.4/1_Interiors/16x16/Theme_Sorter_Singles/14_Basement_Singles/Basement_Singles_134.png")</f>
        <v/>
      </c>
    </row>
    <row r="135" ht="34.5" customHeight="1">
      <c r="A135" s="16" t="s">
        <v>2804</v>
      </c>
      <c r="B135" s="16" t="str">
        <f>IMAGE("https://lmztiles.s3.eu-west-1.amazonaws.com/Modern_Interiors_v41.3.4/1_Interiors/16x16/Theme_Sorter_Singles/14_Basement_Singles/Basement_Singles_135.png")</f>
        <v/>
      </c>
    </row>
    <row r="136" ht="34.5" customHeight="1">
      <c r="A136" s="16" t="s">
        <v>2805</v>
      </c>
      <c r="B136" s="16" t="str">
        <f>IMAGE("https://lmztiles.s3.eu-west-1.amazonaws.com/Modern_Interiors_v41.3.4/1_Interiors/16x16/Theme_Sorter_Singles/14_Basement_Singles/Basement_Singles_136.png")</f>
        <v/>
      </c>
    </row>
    <row r="137" ht="34.5" customHeight="1">
      <c r="A137" s="16" t="s">
        <v>2806</v>
      </c>
      <c r="B137" s="16" t="str">
        <f>IMAGE("https://lmztiles.s3.eu-west-1.amazonaws.com/Modern_Interiors_v41.3.4/1_Interiors/16x16/Theme_Sorter_Singles/14_Basement_Singles/Basement_Singles_137.png")</f>
        <v/>
      </c>
    </row>
    <row r="138" ht="34.5" customHeight="1">
      <c r="A138" s="16" t="s">
        <v>2807</v>
      </c>
      <c r="B138" s="16" t="str">
        <f>IMAGE("https://lmztiles.s3.eu-west-1.amazonaws.com/Modern_Interiors_v41.3.4/1_Interiors/16x16/Theme_Sorter_Singles/14_Basement_Singles/Basement_Singles_138.png")</f>
        <v/>
      </c>
    </row>
    <row r="139" ht="34.5" customHeight="1">
      <c r="A139" s="16" t="s">
        <v>2808</v>
      </c>
      <c r="B139" s="16" t="str">
        <f>IMAGE("https://lmztiles.s3.eu-west-1.amazonaws.com/Modern_Interiors_v41.3.4/1_Interiors/16x16/Theme_Sorter_Singles/14_Basement_Singles/Basement_Singles_139.png")</f>
        <v/>
      </c>
    </row>
    <row r="140" ht="34.5" customHeight="1">
      <c r="A140" s="16" t="s">
        <v>2809</v>
      </c>
      <c r="B140" s="16" t="str">
        <f>IMAGE("https://lmztiles.s3.eu-west-1.amazonaws.com/Modern_Interiors_v41.3.4/1_Interiors/16x16/Theme_Sorter_Singles/14_Basement_Singles/Basement_Singles_140.png")</f>
        <v/>
      </c>
    </row>
    <row r="141" ht="34.5" customHeight="1">
      <c r="A141" s="16" t="s">
        <v>2810</v>
      </c>
      <c r="B141" s="16" t="str">
        <f>IMAGE("https://lmztiles.s3.eu-west-1.amazonaws.com/Modern_Interiors_v41.3.4/1_Interiors/16x16/Theme_Sorter_Singles/14_Basement_Singles/Basement_Singles_141.png")</f>
        <v/>
      </c>
    </row>
    <row r="142" ht="34.5" customHeight="1">
      <c r="A142" s="16" t="s">
        <v>2811</v>
      </c>
      <c r="B142" s="16" t="str">
        <f>IMAGE("https://lmztiles.s3.eu-west-1.amazonaws.com/Modern_Interiors_v41.3.4/1_Interiors/16x16/Theme_Sorter_Singles/14_Basement_Singles/Basement_Singles_142.png")</f>
        <v/>
      </c>
    </row>
    <row r="143" ht="34.5" customHeight="1">
      <c r="A143" s="16" t="s">
        <v>2812</v>
      </c>
      <c r="B143" s="16" t="str">
        <f>IMAGE("https://lmztiles.s3.eu-west-1.amazonaws.com/Modern_Interiors_v41.3.4/1_Interiors/16x16/Theme_Sorter_Singles/14_Basement_Singles/Basement_Singles_143.png")</f>
        <v/>
      </c>
    </row>
    <row r="144" ht="34.5" customHeight="1">
      <c r="A144" s="16" t="s">
        <v>2813</v>
      </c>
      <c r="B144" s="16" t="str">
        <f>IMAGE("https://lmztiles.s3.eu-west-1.amazonaws.com/Modern_Interiors_v41.3.4/1_Interiors/16x16/Theme_Sorter_Singles/14_Basement_Singles/Basement_Singles_144.png")</f>
        <v/>
      </c>
    </row>
    <row r="145" ht="34.5" customHeight="1">
      <c r="A145" s="16" t="s">
        <v>2814</v>
      </c>
      <c r="B145" s="16" t="str">
        <f>IMAGE("https://lmztiles.s3.eu-west-1.amazonaws.com/Modern_Interiors_v41.3.4/1_Interiors/16x16/Theme_Sorter_Singles/14_Basement_Singles/Basement_Singles_145.png")</f>
        <v/>
      </c>
    </row>
    <row r="146" ht="34.5" customHeight="1">
      <c r="A146" s="16" t="s">
        <v>2815</v>
      </c>
      <c r="B146" s="16" t="str">
        <f>IMAGE("https://lmztiles.s3.eu-west-1.amazonaws.com/Modern_Interiors_v41.3.4/1_Interiors/16x16/Theme_Sorter_Singles/14_Basement_Singles/Basement_Singles_146.png")</f>
        <v/>
      </c>
    </row>
    <row r="147" ht="34.5" customHeight="1">
      <c r="A147" s="16" t="s">
        <v>2816</v>
      </c>
      <c r="B147" s="16" t="str">
        <f>IMAGE("https://lmztiles.s3.eu-west-1.amazonaws.com/Modern_Interiors_v41.3.4/1_Interiors/16x16/Theme_Sorter_Singles/14_Basement_Singles/Basement_Singles_147.png")</f>
        <v/>
      </c>
    </row>
    <row r="148" ht="34.5" customHeight="1">
      <c r="A148" s="16" t="s">
        <v>2817</v>
      </c>
      <c r="B148" s="16" t="str">
        <f>IMAGE("https://lmztiles.s3.eu-west-1.amazonaws.com/Modern_Interiors_v41.3.4/1_Interiors/16x16/Theme_Sorter_Singles/14_Basement_Singles/Basement_Singles_148.png")</f>
        <v/>
      </c>
    </row>
    <row r="149" ht="34.5" customHeight="1">
      <c r="A149" s="16" t="s">
        <v>2818</v>
      </c>
      <c r="B149" s="16" t="str">
        <f>IMAGE("https://lmztiles.s3.eu-west-1.amazonaws.com/Modern_Interiors_v41.3.4/1_Interiors/16x16/Theme_Sorter_Singles/14_Basement_Singles/Basement_Singles_149.png")</f>
        <v/>
      </c>
    </row>
    <row r="150" ht="34.5" customHeight="1">
      <c r="A150" s="16" t="s">
        <v>2819</v>
      </c>
      <c r="B150" s="16" t="str">
        <f>IMAGE("https://lmztiles.s3.eu-west-1.amazonaws.com/Modern_Interiors_v41.3.4/1_Interiors/16x16/Theme_Sorter_Singles/14_Basement_Singles/Basement_Singles_150.png")</f>
        <v/>
      </c>
    </row>
    <row r="151" ht="34.5" customHeight="1">
      <c r="A151" s="16" t="s">
        <v>2820</v>
      </c>
      <c r="B151" s="16" t="str">
        <f>IMAGE("https://lmztiles.s3.eu-west-1.amazonaws.com/Modern_Interiors_v41.3.4/1_Interiors/16x16/Theme_Sorter_Singles/14_Basement_Singles/Basement_Singles_151.png")</f>
        <v/>
      </c>
    </row>
    <row r="152" ht="34.5" customHeight="1">
      <c r="A152" s="16" t="s">
        <v>2821</v>
      </c>
      <c r="B152" s="16" t="str">
        <f>IMAGE("https://lmztiles.s3.eu-west-1.amazonaws.com/Modern_Interiors_v41.3.4/1_Interiors/16x16/Theme_Sorter_Singles/14_Basement_Singles/Basement_Singles_152.png")</f>
        <v/>
      </c>
    </row>
    <row r="153" ht="34.5" customHeight="1">
      <c r="A153" s="16" t="s">
        <v>2822</v>
      </c>
      <c r="B153" s="16" t="str">
        <f>IMAGE("https://lmztiles.s3.eu-west-1.amazonaws.com/Modern_Interiors_v41.3.4/1_Interiors/16x16/Theme_Sorter_Singles/14_Basement_Singles/Basement_Singles_153.png")</f>
        <v/>
      </c>
    </row>
    <row r="154" ht="34.5" customHeight="1">
      <c r="A154" s="16" t="s">
        <v>2823</v>
      </c>
      <c r="B154" s="16" t="str">
        <f>IMAGE("https://lmztiles.s3.eu-west-1.amazonaws.com/Modern_Interiors_v41.3.4/1_Interiors/16x16/Theme_Sorter_Singles/14_Basement_Singles/Basement_Singles_154.png")</f>
        <v/>
      </c>
    </row>
    <row r="155" ht="34.5" customHeight="1">
      <c r="A155" s="16" t="s">
        <v>2824</v>
      </c>
      <c r="B155" s="16" t="str">
        <f>IMAGE("https://lmztiles.s3.eu-west-1.amazonaws.com/Modern_Interiors_v41.3.4/1_Interiors/16x16/Theme_Sorter_Singles/14_Basement_Singles/Basement_Singles_155.png")</f>
        <v/>
      </c>
    </row>
    <row r="156" ht="34.5" customHeight="1">
      <c r="A156" s="16" t="s">
        <v>2825</v>
      </c>
      <c r="B156" s="16" t="str">
        <f>IMAGE("https://lmztiles.s3.eu-west-1.amazonaws.com/Modern_Interiors_v41.3.4/1_Interiors/16x16/Theme_Sorter_Singles/14_Basement_Singles/Basement_Singles_156.png")</f>
        <v/>
      </c>
    </row>
    <row r="157" ht="34.5" customHeight="1">
      <c r="A157" s="16" t="s">
        <v>2826</v>
      </c>
      <c r="B157" s="16" t="str">
        <f>IMAGE("https://lmztiles.s3.eu-west-1.amazonaws.com/Modern_Interiors_v41.3.4/1_Interiors/16x16/Theme_Sorter_Singles/14_Basement_Singles/Basement_Singles_157.png")</f>
        <v/>
      </c>
    </row>
    <row r="158" ht="34.5" customHeight="1">
      <c r="A158" s="16" t="s">
        <v>2827</v>
      </c>
      <c r="B158" s="16" t="str">
        <f>IMAGE("https://lmztiles.s3.eu-west-1.amazonaws.com/Modern_Interiors_v41.3.4/1_Interiors/16x16/Theme_Sorter_Singles/14_Basement_Singles/Basement_Singles_158.png")</f>
        <v/>
      </c>
    </row>
    <row r="159" ht="34.5" customHeight="1">
      <c r="A159" s="16" t="s">
        <v>2828</v>
      </c>
      <c r="B159" s="16" t="str">
        <f>IMAGE("https://lmztiles.s3.eu-west-1.amazonaws.com/Modern_Interiors_v41.3.4/1_Interiors/16x16/Theme_Sorter_Singles/14_Basement_Singles/Basement_Singles_159.png")</f>
        <v/>
      </c>
    </row>
    <row r="160" ht="34.5" customHeight="1">
      <c r="A160" s="16" t="s">
        <v>2829</v>
      </c>
      <c r="B160" s="16" t="str">
        <f>IMAGE("https://lmztiles.s3.eu-west-1.amazonaws.com/Modern_Interiors_v41.3.4/1_Interiors/16x16/Theme_Sorter_Singles/14_Basement_Singles/Basement_Singles_160.png")</f>
        <v/>
      </c>
    </row>
    <row r="161" ht="34.5" customHeight="1">
      <c r="A161" s="16" t="s">
        <v>2830</v>
      </c>
      <c r="B161" s="16" t="str">
        <f>IMAGE("https://lmztiles.s3.eu-west-1.amazonaws.com/Modern_Interiors_v41.3.4/1_Interiors/16x16/Theme_Sorter_Singles/14_Basement_Singles/Basement_Singles_161.png")</f>
        <v/>
      </c>
    </row>
    <row r="162" ht="34.5" customHeight="1">
      <c r="A162" s="16" t="s">
        <v>2831</v>
      </c>
      <c r="B162" s="16" t="str">
        <f>IMAGE("https://lmztiles.s3.eu-west-1.amazonaws.com/Modern_Interiors_v41.3.4/1_Interiors/16x16/Theme_Sorter_Singles/14_Basement_Singles/Basement_Singles_162.png")</f>
        <v/>
      </c>
    </row>
    <row r="163" ht="34.5" customHeight="1">
      <c r="A163" s="16" t="s">
        <v>2832</v>
      </c>
      <c r="B163" s="16" t="str">
        <f>IMAGE("https://lmztiles.s3.eu-west-1.amazonaws.com/Modern_Interiors_v41.3.4/1_Interiors/16x16/Theme_Sorter_Singles/14_Basement_Singles/Basement_Singles_163.png")</f>
        <v/>
      </c>
    </row>
    <row r="164" ht="34.5" customHeight="1">
      <c r="A164" s="16" t="s">
        <v>2833</v>
      </c>
      <c r="B164" s="16" t="str">
        <f>IMAGE("https://lmztiles.s3.eu-west-1.amazonaws.com/Modern_Interiors_v41.3.4/1_Interiors/16x16/Theme_Sorter_Singles/14_Basement_Singles/Basement_Singles_164.png")</f>
        <v/>
      </c>
    </row>
    <row r="165" ht="34.5" customHeight="1">
      <c r="A165" s="16" t="s">
        <v>2834</v>
      </c>
      <c r="B165" s="16" t="str">
        <f>IMAGE("https://lmztiles.s3.eu-west-1.amazonaws.com/Modern_Interiors_v41.3.4/1_Interiors/16x16/Theme_Sorter_Singles/14_Basement_Singles/Basement_Singles_165.png")</f>
        <v/>
      </c>
    </row>
    <row r="166" ht="34.5" customHeight="1">
      <c r="A166" s="16" t="s">
        <v>2835</v>
      </c>
      <c r="B166" s="16" t="str">
        <f>IMAGE("https://lmztiles.s3.eu-west-1.amazonaws.com/Modern_Interiors_v41.3.4/1_Interiors/16x16/Theme_Sorter_Singles/14_Basement_Singles/Basement_Singles_166.png")</f>
        <v/>
      </c>
    </row>
    <row r="167" ht="34.5" customHeight="1">
      <c r="A167" s="16" t="s">
        <v>2836</v>
      </c>
      <c r="B167" s="16" t="str">
        <f>IMAGE("https://lmztiles.s3.eu-west-1.amazonaws.com/Modern_Interiors_v41.3.4/1_Interiors/16x16/Theme_Sorter_Singles/14_Basement_Singles/Basement_Singles_167.png")</f>
        <v/>
      </c>
    </row>
    <row r="168" ht="34.5" customHeight="1">
      <c r="A168" s="16" t="s">
        <v>2837</v>
      </c>
      <c r="B168" s="16" t="str">
        <f>IMAGE("https://lmztiles.s3.eu-west-1.amazonaws.com/Modern_Interiors_v41.3.4/1_Interiors/16x16/Theme_Sorter_Singles/14_Basement_Singles/Basement_Singles_168.png")</f>
        <v/>
      </c>
    </row>
    <row r="169" ht="34.5" customHeight="1">
      <c r="A169" s="16" t="s">
        <v>2838</v>
      </c>
      <c r="B169" s="16" t="str">
        <f>IMAGE("https://lmztiles.s3.eu-west-1.amazonaws.com/Modern_Interiors_v41.3.4/1_Interiors/16x16/Theme_Sorter_Singles/14_Basement_Singles/Basement_Singles_169.png")</f>
        <v/>
      </c>
    </row>
    <row r="170" ht="34.5" customHeight="1">
      <c r="A170" s="16" t="s">
        <v>2839</v>
      </c>
      <c r="B170" s="16" t="str">
        <f>IMAGE("https://lmztiles.s3.eu-west-1.amazonaws.com/Modern_Interiors_v41.3.4/1_Interiors/16x16/Theme_Sorter_Singles/14_Basement_Singles/Basement_Singles_170.png")</f>
        <v/>
      </c>
    </row>
    <row r="171" ht="34.5" customHeight="1">
      <c r="A171" s="16" t="s">
        <v>2840</v>
      </c>
      <c r="B171" s="16" t="str">
        <f>IMAGE("https://lmztiles.s3.eu-west-1.amazonaws.com/Modern_Interiors_v41.3.4/1_Interiors/16x16/Theme_Sorter_Singles/14_Basement_Singles/Basement_Singles_171.png")</f>
        <v/>
      </c>
    </row>
    <row r="172" ht="34.5" customHeight="1">
      <c r="A172" s="16" t="s">
        <v>2841</v>
      </c>
      <c r="B172" s="16" t="str">
        <f>IMAGE("https://lmztiles.s3.eu-west-1.amazonaws.com/Modern_Interiors_v41.3.4/1_Interiors/16x16/Theme_Sorter_Singles/14_Basement_Singles/Basement_Singles_172.png")</f>
        <v/>
      </c>
    </row>
    <row r="173" ht="34.5" customHeight="1">
      <c r="A173" s="16" t="s">
        <v>2842</v>
      </c>
      <c r="B173" s="16" t="str">
        <f>IMAGE("https://lmztiles.s3.eu-west-1.amazonaws.com/Modern_Interiors_v41.3.4/1_Interiors/16x16/Theme_Sorter_Singles/14_Basement_Singles/Basement_Singles_173.png")</f>
        <v/>
      </c>
    </row>
    <row r="174" ht="34.5" customHeight="1">
      <c r="A174" s="16" t="s">
        <v>2843</v>
      </c>
      <c r="B174" s="16" t="str">
        <f>IMAGE("https://lmztiles.s3.eu-west-1.amazonaws.com/Modern_Interiors_v41.3.4/1_Interiors/16x16/Theme_Sorter_Singles/14_Basement_Singles/Basement_Singles_174.png")</f>
        <v/>
      </c>
    </row>
    <row r="175" ht="34.5" customHeight="1">
      <c r="A175" s="16" t="s">
        <v>2844</v>
      </c>
      <c r="B175" s="16" t="str">
        <f>IMAGE("https://lmztiles.s3.eu-west-1.amazonaws.com/Modern_Interiors_v41.3.4/1_Interiors/16x16/Theme_Sorter_Singles/14_Basement_Singles/Basement_Singles_175.png")</f>
        <v/>
      </c>
    </row>
    <row r="176" ht="34.5" customHeight="1">
      <c r="A176" s="16" t="s">
        <v>2845</v>
      </c>
      <c r="B176" s="16" t="str">
        <f>IMAGE("https://lmztiles.s3.eu-west-1.amazonaws.com/Modern_Interiors_v41.3.4/1_Interiors/16x16/Theme_Sorter_Singles/14_Basement_Singles/Basement_Singles_176.png")</f>
        <v/>
      </c>
    </row>
    <row r="177" ht="34.5" customHeight="1">
      <c r="A177" s="16" t="s">
        <v>2846</v>
      </c>
      <c r="B177" s="16" t="str">
        <f>IMAGE("https://lmztiles.s3.eu-west-1.amazonaws.com/Modern_Interiors_v41.3.4/1_Interiors/16x16/Theme_Sorter_Singles/14_Basement_Singles/Basement_Singles_177.png")</f>
        <v/>
      </c>
    </row>
    <row r="178" ht="34.5" customHeight="1">
      <c r="A178" s="16" t="s">
        <v>2847</v>
      </c>
      <c r="B178" s="16" t="str">
        <f>IMAGE("https://lmztiles.s3.eu-west-1.amazonaws.com/Modern_Interiors_v41.3.4/1_Interiors/16x16/Theme_Sorter_Singles/14_Basement_Singles/Basement_Singles_178.png")</f>
        <v/>
      </c>
    </row>
    <row r="179" ht="34.5" customHeight="1">
      <c r="A179" s="16" t="s">
        <v>2848</v>
      </c>
      <c r="B179" s="16" t="str">
        <f>IMAGE("https://lmztiles.s3.eu-west-1.amazonaws.com/Modern_Interiors_v41.3.4/1_Interiors/16x16/Theme_Sorter_Singles/14_Basement_Singles/Basement_Singles_179.png")</f>
        <v/>
      </c>
    </row>
    <row r="180" ht="34.5" customHeight="1">
      <c r="A180" s="16" t="s">
        <v>2849</v>
      </c>
      <c r="B180" s="16" t="str">
        <f>IMAGE("https://lmztiles.s3.eu-west-1.amazonaws.com/Modern_Interiors_v41.3.4/1_Interiors/16x16/Theme_Sorter_Singles/14_Basement_Singles/Basement_Singles_180.png")</f>
        <v/>
      </c>
    </row>
    <row r="181" ht="34.5" customHeight="1">
      <c r="A181" s="16" t="s">
        <v>2850</v>
      </c>
      <c r="B181" s="16" t="str">
        <f>IMAGE("https://lmztiles.s3.eu-west-1.amazonaws.com/Modern_Interiors_v41.3.4/1_Interiors/16x16/Theme_Sorter_Singles/14_Basement_Singles/Basement_Singles_181.png")</f>
        <v/>
      </c>
    </row>
    <row r="182" ht="34.5" customHeight="1">
      <c r="A182" s="16" t="s">
        <v>2851</v>
      </c>
      <c r="B182" s="16" t="str">
        <f>IMAGE("https://lmztiles.s3.eu-west-1.amazonaws.com/Modern_Interiors_v41.3.4/1_Interiors/16x16/Theme_Sorter_Singles/14_Basement_Singles/Basement_Singles_182.png")</f>
        <v/>
      </c>
    </row>
    <row r="183" ht="34.5" customHeight="1">
      <c r="A183" s="16" t="s">
        <v>2852</v>
      </c>
      <c r="B183" s="16" t="str">
        <f>IMAGE("https://lmztiles.s3.eu-west-1.amazonaws.com/Modern_Interiors_v41.3.4/1_Interiors/16x16/Theme_Sorter_Singles/14_Basement_Singles/Basement_Singles_183.png")</f>
        <v/>
      </c>
    </row>
    <row r="184" ht="34.5" customHeight="1">
      <c r="A184" s="16" t="s">
        <v>2853</v>
      </c>
      <c r="B184" s="16" t="str">
        <f>IMAGE("https://lmztiles.s3.eu-west-1.amazonaws.com/Modern_Interiors_v41.3.4/1_Interiors/16x16/Theme_Sorter_Singles/14_Basement_Singles/Basement_Singles_184.png")</f>
        <v/>
      </c>
    </row>
    <row r="185" ht="34.5" customHeight="1">
      <c r="A185" s="16" t="s">
        <v>2854</v>
      </c>
      <c r="B185" s="16" t="str">
        <f>IMAGE("https://lmztiles.s3.eu-west-1.amazonaws.com/Modern_Interiors_v41.3.4/1_Interiors/16x16/Theme_Sorter_Singles/14_Basement_Singles/Basement_Singles_185.png")</f>
        <v/>
      </c>
    </row>
    <row r="186" ht="34.5" customHeight="1">
      <c r="A186" s="16" t="s">
        <v>2855</v>
      </c>
      <c r="B186" s="16" t="str">
        <f>IMAGE("https://lmztiles.s3.eu-west-1.amazonaws.com/Modern_Interiors_v41.3.4/1_Interiors/16x16/Theme_Sorter_Singles/14_Basement_Singles/Basement_Singles_186.png")</f>
        <v/>
      </c>
    </row>
    <row r="187" ht="34.5" customHeight="1">
      <c r="A187" s="16" t="s">
        <v>2856</v>
      </c>
      <c r="B187" s="16" t="str">
        <f>IMAGE("https://lmztiles.s3.eu-west-1.amazonaws.com/Modern_Interiors_v41.3.4/1_Interiors/16x16/Theme_Sorter_Singles/14_Basement_Singles/Basement_Singles_187.png")</f>
        <v/>
      </c>
    </row>
    <row r="188" ht="34.5" customHeight="1">
      <c r="A188" s="16" t="s">
        <v>2857</v>
      </c>
      <c r="B188" s="16" t="str">
        <f>IMAGE("https://lmztiles.s3.eu-west-1.amazonaws.com/Modern_Interiors_v41.3.4/1_Interiors/16x16/Theme_Sorter_Singles/14_Basement_Singles/Basement_Singles_188.png")</f>
        <v/>
      </c>
    </row>
    <row r="189" ht="34.5" customHeight="1">
      <c r="A189" s="16" t="s">
        <v>2858</v>
      </c>
      <c r="B189" s="16" t="str">
        <f>IMAGE("https://lmztiles.s3.eu-west-1.amazonaws.com/Modern_Interiors_v41.3.4/1_Interiors/16x16/Theme_Sorter_Singles/14_Basement_Singles/Basement_Singles_189.png")</f>
        <v/>
      </c>
    </row>
    <row r="190" ht="34.5" customHeight="1">
      <c r="A190" s="16" t="s">
        <v>2859</v>
      </c>
      <c r="B190" s="16" t="str">
        <f>IMAGE("https://lmztiles.s3.eu-west-1.amazonaws.com/Modern_Interiors_v41.3.4/1_Interiors/16x16/Theme_Sorter_Singles/14_Basement_Singles/Basement_Singles_190.png")</f>
        <v/>
      </c>
    </row>
    <row r="191" ht="34.5" customHeight="1">
      <c r="A191" s="16" t="s">
        <v>2860</v>
      </c>
      <c r="B191" s="16" t="str">
        <f>IMAGE("https://lmztiles.s3.eu-west-1.amazonaws.com/Modern_Interiors_v41.3.4/1_Interiors/16x16/Theme_Sorter_Singles/14_Basement_Singles/Basement_Singles_191.png")</f>
        <v/>
      </c>
    </row>
    <row r="192" ht="34.5" customHeight="1">
      <c r="A192" s="16" t="s">
        <v>2861</v>
      </c>
      <c r="B192" s="16" t="str">
        <f>IMAGE("https://lmztiles.s3.eu-west-1.amazonaws.com/Modern_Interiors_v41.3.4/1_Interiors/16x16/Theme_Sorter_Singles/14_Basement_Singles/Basement_Singles_192.png")</f>
        <v/>
      </c>
    </row>
    <row r="193" ht="34.5" customHeight="1">
      <c r="A193" s="16" t="s">
        <v>2862</v>
      </c>
      <c r="B193" s="16" t="str">
        <f>IMAGE("https://lmztiles.s3.eu-west-1.amazonaws.com/Modern_Interiors_v41.3.4/1_Interiors/16x16/Theme_Sorter_Singles/14_Basement_Singles/Basement_Singles_193.png")</f>
        <v/>
      </c>
    </row>
    <row r="194" ht="34.5" customHeight="1">
      <c r="A194" s="16" t="s">
        <v>2863</v>
      </c>
      <c r="B194" s="16" t="str">
        <f>IMAGE("https://lmztiles.s3.eu-west-1.amazonaws.com/Modern_Interiors_v41.3.4/1_Interiors/16x16/Theme_Sorter_Singles/14_Basement_Singles/Basement_Singles_194.png")</f>
        <v/>
      </c>
    </row>
    <row r="195" ht="34.5" customHeight="1">
      <c r="A195" s="16" t="s">
        <v>2864</v>
      </c>
      <c r="B195" s="16" t="str">
        <f>IMAGE("https://lmztiles.s3.eu-west-1.amazonaws.com/Modern_Interiors_v41.3.4/1_Interiors/16x16/Theme_Sorter_Singles/14_Basement_Singles/Basement_Singles_195.png")</f>
        <v/>
      </c>
    </row>
    <row r="196" ht="34.5" customHeight="1">
      <c r="A196" s="16" t="s">
        <v>2865</v>
      </c>
      <c r="B196" s="16" t="str">
        <f>IMAGE("https://lmztiles.s3.eu-west-1.amazonaws.com/Modern_Interiors_v41.3.4/1_Interiors/16x16/Theme_Sorter_Singles/14_Basement_Singles/Basement_Singles_196.png")</f>
        <v/>
      </c>
    </row>
    <row r="197" ht="34.5" customHeight="1">
      <c r="A197" s="16" t="s">
        <v>2866</v>
      </c>
      <c r="B197" s="16" t="str">
        <f>IMAGE("https://lmztiles.s3.eu-west-1.amazonaws.com/Modern_Interiors_v41.3.4/1_Interiors/16x16/Theme_Sorter_Singles/14_Basement_Singles/Basement_Singles_197.png")</f>
        <v/>
      </c>
    </row>
    <row r="198" ht="34.5" customHeight="1">
      <c r="A198" s="16" t="s">
        <v>2867</v>
      </c>
      <c r="B198" s="16" t="str">
        <f>IMAGE("https://lmztiles.s3.eu-west-1.amazonaws.com/Modern_Interiors_v41.3.4/1_Interiors/16x16/Theme_Sorter_Singles/14_Basement_Singles/Basement_Singles_198.png")</f>
        <v/>
      </c>
    </row>
    <row r="199" ht="34.5" customHeight="1">
      <c r="A199" s="16" t="s">
        <v>2868</v>
      </c>
      <c r="B199" s="16" t="str">
        <f>IMAGE("https://lmztiles.s3.eu-west-1.amazonaws.com/Modern_Interiors_v41.3.4/1_Interiors/16x16/Theme_Sorter_Singles/14_Basement_Singles/Basement_Singles_199.png")</f>
        <v/>
      </c>
    </row>
    <row r="200" ht="34.5" customHeight="1">
      <c r="A200" s="16" t="s">
        <v>2869</v>
      </c>
      <c r="B200" s="16" t="str">
        <f>IMAGE("https://lmztiles.s3.eu-west-1.amazonaws.com/Modern_Interiors_v41.3.4/1_Interiors/16x16/Theme_Sorter_Singles/14_Basement_Singles/Basement_Singles_200.png")</f>
        <v/>
      </c>
    </row>
    <row r="201" ht="34.5" customHeight="1">
      <c r="A201" s="16" t="s">
        <v>2870</v>
      </c>
      <c r="B201" s="16" t="str">
        <f>IMAGE("https://lmztiles.s3.eu-west-1.amazonaws.com/Modern_Interiors_v41.3.4/1_Interiors/16x16/Theme_Sorter_Singles/14_Basement_Singles/Basement_Singles_201.png")</f>
        <v/>
      </c>
    </row>
    <row r="202" ht="34.5" customHeight="1">
      <c r="A202" s="16" t="s">
        <v>2871</v>
      </c>
      <c r="B202" s="16" t="str">
        <f>IMAGE("https://lmztiles.s3.eu-west-1.amazonaws.com/Modern_Interiors_v41.3.4/1_Interiors/16x16/Theme_Sorter_Singles/14_Basement_Singles/Basement_Singles_202.png")</f>
        <v/>
      </c>
    </row>
    <row r="203" ht="34.5" customHeight="1">
      <c r="A203" s="16" t="s">
        <v>2872</v>
      </c>
      <c r="B203" s="16" t="str">
        <f>IMAGE("https://lmztiles.s3.eu-west-1.amazonaws.com/Modern_Interiors_v41.3.4/1_Interiors/16x16/Theme_Sorter_Singles/14_Basement_Singles/Basement_Singles_203.png")</f>
        <v/>
      </c>
    </row>
    <row r="204" ht="34.5" customHeight="1">
      <c r="A204" s="16" t="s">
        <v>2873</v>
      </c>
      <c r="B204" s="16" t="str">
        <f>IMAGE("https://lmztiles.s3.eu-west-1.amazonaws.com/Modern_Interiors_v41.3.4/1_Interiors/16x16/Theme_Sorter_Singles/14_Basement_Singles/Basement_Singles_204.png")</f>
        <v/>
      </c>
    </row>
    <row r="205" ht="34.5" customHeight="1">
      <c r="A205" s="16" t="s">
        <v>2874</v>
      </c>
      <c r="B205" s="16" t="str">
        <f>IMAGE("https://lmztiles.s3.eu-west-1.amazonaws.com/Modern_Interiors_v41.3.4/1_Interiors/16x16/Theme_Sorter_Singles/14_Basement_Singles/Basement_Singles_205.png")</f>
        <v/>
      </c>
    </row>
    <row r="206" ht="34.5" customHeight="1">
      <c r="A206" s="16" t="s">
        <v>2875</v>
      </c>
      <c r="B206" s="16" t="str">
        <f>IMAGE("https://lmztiles.s3.eu-west-1.amazonaws.com/Modern_Interiors_v41.3.4/1_Interiors/16x16/Theme_Sorter_Singles/14_Basement_Singles/Basement_Singles_206.png")</f>
        <v/>
      </c>
    </row>
    <row r="207" ht="34.5" customHeight="1">
      <c r="A207" s="16" t="s">
        <v>2876</v>
      </c>
      <c r="B207" s="16" t="str">
        <f>IMAGE("https://lmztiles.s3.eu-west-1.amazonaws.com/Modern_Interiors_v41.3.4/1_Interiors/16x16/Theme_Sorter_Singles/14_Basement_Singles/Basement_Singles_207.png")</f>
        <v/>
      </c>
    </row>
    <row r="208" ht="34.5" customHeight="1">
      <c r="A208" s="16" t="s">
        <v>2877</v>
      </c>
      <c r="B208" s="16" t="str">
        <f>IMAGE("https://lmztiles.s3.eu-west-1.amazonaws.com/Modern_Interiors_v41.3.4/1_Interiors/16x16/Theme_Sorter_Singles/14_Basement_Singles/Basement_Singles_208.png")</f>
        <v/>
      </c>
    </row>
    <row r="209" ht="34.5" customHeight="1">
      <c r="A209" s="16" t="s">
        <v>2878</v>
      </c>
      <c r="B209" s="16" t="str">
        <f>IMAGE("https://lmztiles.s3.eu-west-1.amazonaws.com/Modern_Interiors_v41.3.4/1_Interiors/16x16/Theme_Sorter_Singles/14_Basement_Singles/Basement_Singles_209.png")</f>
        <v/>
      </c>
    </row>
    <row r="210" ht="34.5" customHeight="1">
      <c r="A210" s="16" t="s">
        <v>2879</v>
      </c>
      <c r="B210" s="16" t="str">
        <f>IMAGE("https://lmztiles.s3.eu-west-1.amazonaws.com/Modern_Interiors_v41.3.4/1_Interiors/16x16/Theme_Sorter_Singles/14_Basement_Singles/Basement_Singles_210.png")</f>
        <v/>
      </c>
    </row>
    <row r="211" ht="34.5" customHeight="1">
      <c r="A211" s="16" t="s">
        <v>2880</v>
      </c>
      <c r="B211" s="16" t="str">
        <f>IMAGE("https://lmztiles.s3.eu-west-1.amazonaws.com/Modern_Interiors_v41.3.4/1_Interiors/16x16/Theme_Sorter_Singles/14_Basement_Singles/Basement_Singles_211.png")</f>
        <v/>
      </c>
    </row>
    <row r="212" ht="34.5" customHeight="1">
      <c r="A212" s="16" t="s">
        <v>2881</v>
      </c>
      <c r="B212" s="16" t="str">
        <f>IMAGE("https://lmztiles.s3.eu-west-1.amazonaws.com/Modern_Interiors_v41.3.4/1_Interiors/16x16/Theme_Sorter_Singles/14_Basement_Singles/Basement_Singles_212.png")</f>
        <v/>
      </c>
    </row>
    <row r="213" ht="34.5" customHeight="1">
      <c r="A213" s="16" t="s">
        <v>2882</v>
      </c>
      <c r="B213" s="16" t="str">
        <f>IMAGE("https://lmztiles.s3.eu-west-1.amazonaws.com/Modern_Interiors_v41.3.4/1_Interiors/16x16/Theme_Sorter_Singles/14_Basement_Singles/Basement_Singles_213.png")</f>
        <v/>
      </c>
    </row>
    <row r="214" ht="34.5" customHeight="1">
      <c r="A214" s="16" t="s">
        <v>2883</v>
      </c>
      <c r="B214" s="16" t="str">
        <f>IMAGE("https://lmztiles.s3.eu-west-1.amazonaws.com/Modern_Interiors_v41.3.4/1_Interiors/16x16/Theme_Sorter_Singles/14_Basement_Singles/Basement_Singles_214.png")</f>
        <v/>
      </c>
    </row>
    <row r="215" ht="34.5" customHeight="1">
      <c r="A215" s="16" t="s">
        <v>2884</v>
      </c>
      <c r="B215" s="16" t="str">
        <f>IMAGE("https://lmztiles.s3.eu-west-1.amazonaws.com/Modern_Interiors_v41.3.4/1_Interiors/16x16/Theme_Sorter_Singles/14_Basement_Singles/Basement_Singles_215.png")</f>
        <v/>
      </c>
    </row>
    <row r="216" ht="34.5" customHeight="1">
      <c r="A216" s="16" t="s">
        <v>2885</v>
      </c>
      <c r="B216" s="16" t="str">
        <f>IMAGE("https://lmztiles.s3.eu-west-1.amazonaws.com/Modern_Interiors_v41.3.4/1_Interiors/16x16/Theme_Sorter_Singles/14_Basement_Singles/Basement_Singles_216.png")</f>
        <v/>
      </c>
    </row>
    <row r="217" ht="34.5" customHeight="1">
      <c r="A217" s="16" t="s">
        <v>2886</v>
      </c>
      <c r="B217" s="16" t="str">
        <f>IMAGE("https://lmztiles.s3.eu-west-1.amazonaws.com/Modern_Interiors_v41.3.4/1_Interiors/16x16/Theme_Sorter_Singles/14_Basement_Singles/Basement_Singles_217.png")</f>
        <v/>
      </c>
    </row>
    <row r="218" ht="34.5" customHeight="1">
      <c r="A218" s="16" t="s">
        <v>2887</v>
      </c>
      <c r="B218" s="16" t="str">
        <f>IMAGE("https://lmztiles.s3.eu-west-1.amazonaws.com/Modern_Interiors_v41.3.4/1_Interiors/16x16/Theme_Sorter_Singles/14_Basement_Singles/Basement_Singles_218.png")</f>
        <v/>
      </c>
    </row>
    <row r="219" ht="34.5" customHeight="1">
      <c r="A219" s="16" t="s">
        <v>2888</v>
      </c>
      <c r="B219" s="16" t="str">
        <f>IMAGE("https://lmztiles.s3.eu-west-1.amazonaws.com/Modern_Interiors_v41.3.4/1_Interiors/16x16/Theme_Sorter_Singles/14_Basement_Singles/Basement_Singles_219.png")</f>
        <v/>
      </c>
    </row>
    <row r="220" ht="34.5" customHeight="1">
      <c r="A220" s="16" t="s">
        <v>2889</v>
      </c>
      <c r="B220" s="16" t="str">
        <f>IMAGE("https://lmztiles.s3.eu-west-1.amazonaws.com/Modern_Interiors_v41.3.4/1_Interiors/16x16/Theme_Sorter_Singles/14_Basement_Singles/Basement_Singles_220.png")</f>
        <v/>
      </c>
    </row>
    <row r="221" ht="34.5" customHeight="1">
      <c r="A221" s="16" t="s">
        <v>2890</v>
      </c>
      <c r="B221" s="16" t="str">
        <f>IMAGE("https://lmztiles.s3.eu-west-1.amazonaws.com/Modern_Interiors_v41.3.4/1_Interiors/16x16/Theme_Sorter_Singles/14_Basement_Singles/Basement_Singles_221.png")</f>
        <v/>
      </c>
    </row>
    <row r="222" ht="34.5" customHeight="1">
      <c r="A222" s="16" t="s">
        <v>2891</v>
      </c>
      <c r="B222" s="16" t="str">
        <f>IMAGE("https://lmztiles.s3.eu-west-1.amazonaws.com/Modern_Interiors_v41.3.4/1_Interiors/16x16/Theme_Sorter_Singles/14_Basement_Singles/Basement_Singles_222.png")</f>
        <v/>
      </c>
    </row>
    <row r="223" ht="34.5" customHeight="1">
      <c r="A223" s="16" t="s">
        <v>2892</v>
      </c>
      <c r="B223" s="16" t="str">
        <f>IMAGE("https://lmztiles.s3.eu-west-1.amazonaws.com/Modern_Interiors_v41.3.4/1_Interiors/16x16/Theme_Sorter_Singles/14_Basement_Singles/Basement_Singles_223.png")</f>
        <v/>
      </c>
    </row>
    <row r="224" ht="34.5" customHeight="1">
      <c r="A224" s="16" t="s">
        <v>2893</v>
      </c>
      <c r="B224" s="16" t="str">
        <f>IMAGE("https://lmztiles.s3.eu-west-1.amazonaws.com/Modern_Interiors_v41.3.4/1_Interiors/16x16/Theme_Sorter_Singles/14_Basement_Singles/Basement_Singles_224.png")</f>
        <v/>
      </c>
    </row>
    <row r="225" ht="34.5" customHeight="1">
      <c r="A225" s="16" t="s">
        <v>2894</v>
      </c>
      <c r="B225" s="16" t="str">
        <f>IMAGE("https://lmztiles.s3.eu-west-1.amazonaws.com/Modern_Interiors_v41.3.4/1_Interiors/16x16/Theme_Sorter_Singles/14_Basement_Singles/Basement_Singles_225.png")</f>
        <v/>
      </c>
    </row>
    <row r="226" ht="34.5" customHeight="1">
      <c r="A226" s="16" t="s">
        <v>2895</v>
      </c>
      <c r="B226" s="16" t="str">
        <f>IMAGE("https://lmztiles.s3.eu-west-1.amazonaws.com/Modern_Interiors_v41.3.4/1_Interiors/16x16/Theme_Sorter_Singles/14_Basement_Singles/Basement_Singles_226.png")</f>
        <v/>
      </c>
    </row>
    <row r="227" ht="34.5" customHeight="1">
      <c r="A227" s="16" t="s">
        <v>2896</v>
      </c>
      <c r="B227" s="16" t="str">
        <f>IMAGE("https://lmztiles.s3.eu-west-1.amazonaws.com/Modern_Interiors_v41.3.4/1_Interiors/16x16/Theme_Sorter_Singles/14_Basement_Singles/Basement_Singles_227.png")</f>
        <v/>
      </c>
    </row>
    <row r="228" ht="34.5" customHeight="1">
      <c r="A228" s="16" t="s">
        <v>2897</v>
      </c>
      <c r="B228" s="16" t="str">
        <f>IMAGE("https://lmztiles.s3.eu-west-1.amazonaws.com/Modern_Interiors_v41.3.4/1_Interiors/16x16/Theme_Sorter_Singles/14_Basement_Singles/Basement_Singles_228.png")</f>
        <v/>
      </c>
    </row>
    <row r="229" ht="34.5" customHeight="1">
      <c r="A229" s="16" t="s">
        <v>2898</v>
      </c>
      <c r="B229" s="16" t="str">
        <f>IMAGE("https://lmztiles.s3.eu-west-1.amazonaws.com/Modern_Interiors_v41.3.4/1_Interiors/16x16/Theme_Sorter_Singles/14_Basement_Singles/Basement_Singles_229.png")</f>
        <v/>
      </c>
    </row>
    <row r="230" ht="34.5" customHeight="1">
      <c r="A230" s="16" t="s">
        <v>2899</v>
      </c>
      <c r="B230" s="16" t="str">
        <f>IMAGE("https://lmztiles.s3.eu-west-1.amazonaws.com/Modern_Interiors_v41.3.4/1_Interiors/16x16/Theme_Sorter_Singles/14_Basement_Singles/Basement_Singles_230.png")</f>
        <v/>
      </c>
    </row>
    <row r="231" ht="34.5" customHeight="1">
      <c r="A231" s="16" t="s">
        <v>2900</v>
      </c>
      <c r="B231" s="16" t="str">
        <f>IMAGE("https://lmztiles.s3.eu-west-1.amazonaws.com/Modern_Interiors_v41.3.4/1_Interiors/16x16/Theme_Sorter_Singles/14_Basement_Singles/Basement_Singles_231.png")</f>
        <v/>
      </c>
    </row>
    <row r="232" ht="34.5" customHeight="1">
      <c r="A232" s="16" t="s">
        <v>2901</v>
      </c>
      <c r="B232" s="16" t="str">
        <f>IMAGE("https://lmztiles.s3.eu-west-1.amazonaws.com/Modern_Interiors_v41.3.4/1_Interiors/16x16/Theme_Sorter_Singles/14_Basement_Singles/Basement_Singles_232.png")</f>
        <v/>
      </c>
    </row>
    <row r="233" ht="34.5" customHeight="1">
      <c r="A233" s="16" t="s">
        <v>2902</v>
      </c>
      <c r="B233" s="16" t="str">
        <f>IMAGE("https://lmztiles.s3.eu-west-1.amazonaws.com/Modern_Interiors_v41.3.4/1_Interiors/16x16/Theme_Sorter_Singles/14_Basement_Singles/Basement_Singles_233.png")</f>
        <v/>
      </c>
    </row>
    <row r="234" ht="34.5" customHeight="1">
      <c r="A234" s="16" t="s">
        <v>2903</v>
      </c>
      <c r="B234" s="16" t="str">
        <f>IMAGE("https://lmztiles.s3.eu-west-1.amazonaws.com/Modern_Interiors_v41.3.4/1_Interiors/16x16/Theme_Sorter_Singles/14_Basement_Singles/Basement_Singles_234.png")</f>
        <v/>
      </c>
    </row>
    <row r="235" ht="34.5" customHeight="1">
      <c r="A235" s="16" t="s">
        <v>2904</v>
      </c>
      <c r="B235" s="16" t="str">
        <f>IMAGE("https://lmztiles.s3.eu-west-1.amazonaws.com/Modern_Interiors_v41.3.4/1_Interiors/16x16/Theme_Sorter_Singles/14_Basement_Singles/Basement_Singles_235.png")</f>
        <v/>
      </c>
    </row>
    <row r="236" ht="34.5" customHeight="1">
      <c r="A236" s="16" t="s">
        <v>2905</v>
      </c>
      <c r="B236" s="16" t="str">
        <f>IMAGE("https://lmztiles.s3.eu-west-1.amazonaws.com/Modern_Interiors_v41.3.4/1_Interiors/16x16/Theme_Sorter_Singles/14_Basement_Singles/Basement_Singles_236.png")</f>
        <v/>
      </c>
    </row>
    <row r="237" ht="34.5" customHeight="1">
      <c r="A237" s="16" t="s">
        <v>2906</v>
      </c>
      <c r="B237" s="16" t="str">
        <f>IMAGE("https://lmztiles.s3.eu-west-1.amazonaws.com/Modern_Interiors_v41.3.4/1_Interiors/16x16/Theme_Sorter_Singles/14_Basement_Singles/Basement_Singles_237.png")</f>
        <v/>
      </c>
    </row>
    <row r="238" ht="34.5" customHeight="1">
      <c r="A238" s="16" t="s">
        <v>2907</v>
      </c>
      <c r="B238" s="16" t="str">
        <f>IMAGE("https://lmztiles.s3.eu-west-1.amazonaws.com/Modern_Interiors_v41.3.4/1_Interiors/16x16/Theme_Sorter_Singles/14_Basement_Singles/Basement_Singles_238.png")</f>
        <v/>
      </c>
    </row>
    <row r="239" ht="34.5" customHeight="1">
      <c r="A239" s="16" t="s">
        <v>2908</v>
      </c>
      <c r="B239" s="16" t="str">
        <f>IMAGE("https://lmztiles.s3.eu-west-1.amazonaws.com/Modern_Interiors_v41.3.4/1_Interiors/16x16/Theme_Sorter_Singles/14_Basement_Singles/Basement_Singles_239.png")</f>
        <v/>
      </c>
    </row>
    <row r="240" ht="34.5" customHeight="1">
      <c r="A240" s="16" t="s">
        <v>2909</v>
      </c>
      <c r="B240" s="16" t="str">
        <f>IMAGE("https://lmztiles.s3.eu-west-1.amazonaws.com/Modern_Interiors_v41.3.4/1_Interiors/16x16/Theme_Sorter_Singles/14_Basement_Singles/Basement_Singles_240.png")</f>
        <v/>
      </c>
    </row>
    <row r="241" ht="34.5" customHeight="1">
      <c r="A241" s="16" t="s">
        <v>2910</v>
      </c>
      <c r="B241" s="16" t="str">
        <f>IMAGE("https://lmztiles.s3.eu-west-1.amazonaws.com/Modern_Interiors_v41.3.4/1_Interiors/16x16/Theme_Sorter_Singles/14_Basement_Singles/Basement_Singles_241.png")</f>
        <v/>
      </c>
    </row>
    <row r="242" ht="34.5" customHeight="1">
      <c r="A242" s="16" t="s">
        <v>2911</v>
      </c>
      <c r="B242" s="16" t="str">
        <f>IMAGE("https://lmztiles.s3.eu-west-1.amazonaws.com/Modern_Interiors_v41.3.4/1_Interiors/16x16/Theme_Sorter_Singles/14_Basement_Singles/Basement_Singles_242.png")</f>
        <v/>
      </c>
    </row>
    <row r="243" ht="34.5" customHeight="1">
      <c r="A243" s="16" t="s">
        <v>2912</v>
      </c>
      <c r="B243" s="16" t="str">
        <f>IMAGE("https://lmztiles.s3.eu-west-1.amazonaws.com/Modern_Interiors_v41.3.4/1_Interiors/16x16/Theme_Sorter_Singles/14_Basement_Singles/Basement_Singles_243.png")</f>
        <v/>
      </c>
    </row>
    <row r="244" ht="34.5" customHeight="1">
      <c r="A244" s="16" t="s">
        <v>2913</v>
      </c>
      <c r="B244" s="16" t="str">
        <f>IMAGE("https://lmztiles.s3.eu-west-1.amazonaws.com/Modern_Interiors_v41.3.4/1_Interiors/16x16/Theme_Sorter_Singles/14_Basement_Singles/Basement_Singles_244.png")</f>
        <v/>
      </c>
    </row>
    <row r="245" ht="34.5" customHeight="1">
      <c r="A245" s="16" t="s">
        <v>2914</v>
      </c>
      <c r="B245" s="16" t="str">
        <f>IMAGE("https://lmztiles.s3.eu-west-1.amazonaws.com/Modern_Interiors_v41.3.4/1_Interiors/16x16/Theme_Sorter_Singles/14_Basement_Singles/Basement_Singles_245.png")</f>
        <v/>
      </c>
    </row>
    <row r="246" ht="34.5" customHeight="1">
      <c r="A246" s="16" t="s">
        <v>2915</v>
      </c>
      <c r="B246" s="16" t="str">
        <f>IMAGE("https://lmztiles.s3.eu-west-1.amazonaws.com/Modern_Interiors_v41.3.4/1_Interiors/16x16/Theme_Sorter_Singles/14_Basement_Singles/Basement_Singles_246.png")</f>
        <v/>
      </c>
    </row>
    <row r="247" ht="34.5" customHeight="1"/>
    <row r="248" ht="34.5" customHeight="1"/>
    <row r="249" ht="34.5" customHeight="1"/>
    <row r="250" ht="34.5" customHeight="1"/>
    <row r="251" ht="34.5" customHeight="1"/>
    <row r="252" ht="34.5" customHeight="1"/>
    <row r="253" ht="34.5" customHeight="1"/>
    <row r="254" ht="34.5" customHeight="1"/>
    <row r="255" ht="34.5" customHeight="1"/>
    <row r="256" ht="34.5" customHeight="1"/>
    <row r="257" ht="34.5" customHeight="1"/>
    <row r="258" ht="34.5" customHeight="1"/>
    <row r="259" ht="34.5" customHeight="1"/>
    <row r="260" ht="34.5" customHeight="1"/>
    <row r="261" ht="34.5" customHeight="1"/>
    <row r="262" ht="34.5" customHeight="1"/>
    <row r="263" ht="34.5" customHeight="1"/>
    <row r="264" ht="34.5" customHeight="1"/>
    <row r="265" ht="34.5" customHeight="1"/>
    <row r="266" ht="34.5" customHeight="1"/>
    <row r="267" ht="34.5" customHeight="1"/>
    <row r="268" ht="34.5" customHeight="1"/>
    <row r="269" ht="34.5" customHeight="1"/>
    <row r="270" ht="34.5" customHeight="1"/>
    <row r="271" ht="34.5" customHeight="1"/>
    <row r="272" ht="34.5" customHeight="1"/>
    <row r="273" ht="34.5" customHeight="1"/>
    <row r="274" ht="34.5" customHeight="1"/>
    <row r="275" ht="34.5" customHeight="1"/>
    <row r="276" ht="34.5" customHeight="1"/>
    <row r="277" ht="34.5" customHeight="1"/>
    <row r="278" ht="34.5" customHeight="1"/>
    <row r="279" ht="34.5" customHeight="1"/>
    <row r="280" ht="34.5" customHeight="1"/>
    <row r="281" ht="34.5" customHeight="1"/>
    <row r="282" ht="34.5" customHeight="1"/>
    <row r="283" ht="34.5" customHeight="1"/>
    <row r="284" ht="34.5" customHeight="1"/>
    <row r="285" ht="34.5" customHeight="1"/>
    <row r="286" ht="34.5" customHeight="1"/>
    <row r="287" ht="34.5" customHeight="1"/>
    <row r="288" ht="34.5" customHeight="1"/>
    <row r="289" ht="34.5" customHeight="1"/>
    <row r="290" ht="34.5" customHeight="1"/>
    <row r="291" ht="34.5" customHeight="1"/>
    <row r="292" ht="34.5" customHeight="1"/>
    <row r="293" ht="34.5" customHeight="1"/>
    <row r="294" ht="34.5" customHeight="1"/>
    <row r="295" ht="34.5" customHeight="1"/>
    <row r="296" ht="34.5" customHeight="1"/>
    <row r="297" ht="34.5" customHeight="1"/>
    <row r="298" ht="34.5" customHeight="1"/>
    <row r="299" ht="34.5" customHeight="1"/>
    <row r="300" ht="34.5" customHeight="1"/>
    <row r="301" ht="34.5" customHeight="1"/>
    <row r="302" ht="34.5" customHeight="1"/>
    <row r="303" ht="34.5" customHeight="1"/>
    <row r="304" ht="34.5" customHeight="1"/>
    <row r="305" ht="34.5" customHeight="1"/>
    <row r="306" ht="34.5" customHeight="1"/>
    <row r="307" ht="34.5" customHeight="1"/>
    <row r="308" ht="34.5" customHeight="1"/>
    <row r="309" ht="34.5" customHeight="1"/>
    <row r="310" ht="34.5" customHeight="1"/>
    <row r="311" ht="34.5" customHeight="1"/>
    <row r="312" ht="34.5" customHeight="1"/>
    <row r="313" ht="34.5" customHeight="1"/>
    <row r="314" ht="34.5" customHeight="1"/>
    <row r="315" ht="34.5" customHeight="1"/>
    <row r="316" ht="34.5" customHeight="1"/>
    <row r="317" ht="34.5" customHeight="1"/>
    <row r="318" ht="34.5" customHeight="1"/>
    <row r="319" ht="34.5" customHeight="1"/>
    <row r="320" ht="34.5" customHeight="1"/>
    <row r="321" ht="34.5" customHeight="1"/>
    <row r="322" ht="34.5" customHeight="1"/>
    <row r="323" ht="34.5" customHeight="1"/>
    <row r="324" ht="34.5" customHeight="1"/>
    <row r="325" ht="34.5" customHeight="1"/>
    <row r="326" ht="34.5" customHeight="1"/>
    <row r="327" ht="34.5" customHeight="1"/>
    <row r="328" ht="34.5" customHeight="1"/>
    <row r="329" ht="34.5" customHeight="1"/>
    <row r="330" ht="34.5" customHeight="1"/>
    <row r="331" ht="34.5" customHeight="1"/>
    <row r="332" ht="34.5" customHeight="1"/>
    <row r="333" ht="34.5" customHeight="1"/>
    <row r="334" ht="34.5" customHeight="1"/>
    <row r="335" ht="34.5" customHeight="1"/>
    <row r="336" ht="34.5" customHeight="1"/>
    <row r="337" ht="34.5" customHeight="1"/>
    <row r="338" ht="34.5" customHeight="1"/>
    <row r="339" ht="34.5" customHeight="1"/>
    <row r="340" ht="34.5" customHeight="1"/>
    <row r="341" ht="34.5" customHeight="1"/>
    <row r="342" ht="34.5" customHeight="1"/>
    <row r="343" ht="34.5" customHeight="1"/>
    <row r="344" ht="34.5" customHeight="1"/>
    <row r="345" ht="34.5" customHeight="1"/>
    <row r="346" ht="34.5" customHeight="1"/>
    <row r="347" ht="34.5" customHeight="1"/>
    <row r="348" ht="34.5" customHeight="1"/>
    <row r="349" ht="34.5" customHeight="1"/>
    <row r="350" ht="34.5" customHeight="1"/>
    <row r="351" ht="34.5" customHeight="1"/>
    <row r="352" ht="34.5" customHeight="1"/>
    <row r="353" ht="34.5" customHeight="1"/>
    <row r="354" ht="34.5" customHeight="1"/>
    <row r="355" ht="34.5" customHeight="1"/>
    <row r="356" ht="34.5" customHeight="1"/>
    <row r="357" ht="34.5" customHeight="1"/>
    <row r="358" ht="34.5" customHeight="1"/>
    <row r="359" ht="34.5" customHeight="1"/>
    <row r="360" ht="34.5" customHeight="1"/>
    <row r="361" ht="34.5" customHeight="1"/>
    <row r="362" ht="34.5" customHeight="1"/>
    <row r="363" ht="34.5" customHeight="1"/>
    <row r="364" ht="34.5" customHeight="1"/>
    <row r="365" ht="34.5" customHeight="1"/>
    <row r="366" ht="34.5" customHeight="1"/>
    <row r="367" ht="34.5" customHeight="1"/>
    <row r="368" ht="34.5" customHeight="1"/>
    <row r="369" ht="34.5" customHeight="1"/>
    <row r="370" ht="34.5" customHeight="1"/>
    <row r="371" ht="34.5" customHeight="1"/>
    <row r="372" ht="34.5" customHeight="1"/>
    <row r="373" ht="34.5" customHeight="1"/>
    <row r="374" ht="34.5" customHeight="1"/>
    <row r="375" ht="34.5" customHeight="1"/>
    <row r="376" ht="34.5" customHeight="1"/>
    <row r="377" ht="34.5" customHeight="1"/>
    <row r="378" ht="34.5" customHeight="1"/>
    <row r="379" ht="34.5" customHeight="1"/>
    <row r="380" ht="34.5" customHeight="1"/>
    <row r="381" ht="34.5" customHeight="1"/>
    <row r="382" ht="34.5" customHeight="1"/>
    <row r="383" ht="34.5" customHeight="1"/>
    <row r="384" ht="34.5" customHeight="1"/>
    <row r="385" ht="34.5" customHeight="1"/>
    <row r="386" ht="34.5" customHeight="1"/>
    <row r="387" ht="34.5" customHeight="1"/>
    <row r="388" ht="34.5" customHeight="1"/>
    <row r="389" ht="34.5" customHeight="1"/>
    <row r="390" ht="34.5" customHeight="1"/>
    <row r="391" ht="34.5" customHeight="1"/>
    <row r="392" ht="34.5" customHeight="1"/>
    <row r="393" ht="34.5" customHeight="1"/>
    <row r="394" ht="34.5" customHeight="1"/>
    <row r="395" ht="34.5" customHeight="1"/>
    <row r="396" ht="34.5" customHeight="1"/>
    <row r="397" ht="34.5" customHeight="1"/>
    <row r="398" ht="34.5" customHeight="1"/>
    <row r="399" ht="34.5" customHeight="1"/>
    <row r="400" ht="34.5" customHeight="1"/>
    <row r="401" ht="34.5" customHeight="1"/>
    <row r="402" ht="34.5" customHeight="1"/>
    <row r="403" ht="34.5" customHeight="1"/>
    <row r="404" ht="34.5" customHeight="1"/>
    <row r="405" ht="34.5" customHeight="1"/>
    <row r="406" ht="34.5" customHeight="1"/>
    <row r="407" ht="34.5" customHeight="1"/>
    <row r="408" ht="34.5" customHeight="1"/>
    <row r="409" ht="34.5" customHeight="1"/>
    <row r="410" ht="34.5" customHeight="1"/>
    <row r="411" ht="34.5" customHeight="1"/>
    <row r="412" ht="34.5" customHeight="1"/>
    <row r="413" ht="34.5" customHeight="1"/>
    <row r="414" ht="34.5" customHeight="1"/>
    <row r="415" ht="34.5" customHeight="1"/>
    <row r="416" ht="34.5" customHeight="1"/>
    <row r="417" ht="34.5" customHeight="1"/>
    <row r="418" ht="34.5" customHeight="1"/>
    <row r="419" ht="34.5" customHeight="1"/>
    <row r="420" ht="34.5" customHeight="1"/>
    <row r="421" ht="34.5" customHeight="1"/>
    <row r="422" ht="34.5" customHeight="1"/>
    <row r="423" ht="34.5" customHeight="1"/>
    <row r="424" ht="34.5" customHeight="1"/>
    <row r="425" ht="34.5" customHeight="1"/>
    <row r="426" ht="34.5" customHeight="1"/>
    <row r="427" ht="34.5" customHeight="1"/>
    <row r="428" ht="34.5" customHeight="1"/>
    <row r="429" ht="34.5" customHeight="1"/>
    <row r="430" ht="34.5" customHeight="1"/>
    <row r="431" ht="34.5" customHeight="1"/>
    <row r="432" ht="34.5" customHeight="1"/>
    <row r="433" ht="34.5" customHeight="1"/>
    <row r="434" ht="34.5" customHeight="1"/>
    <row r="435" ht="34.5" customHeight="1"/>
    <row r="436" ht="34.5" customHeight="1"/>
    <row r="437" ht="34.5" customHeight="1"/>
    <row r="438" ht="34.5" customHeight="1"/>
    <row r="439" ht="34.5" customHeight="1"/>
    <row r="440" ht="34.5" customHeight="1"/>
    <row r="441" ht="34.5" customHeight="1"/>
    <row r="442" ht="34.5" customHeight="1"/>
    <row r="443" ht="34.5" customHeight="1"/>
    <row r="444" ht="34.5" customHeight="1"/>
    <row r="445" ht="34.5" customHeight="1"/>
    <row r="446" ht="34.5" customHeight="1"/>
    <row r="447" ht="34.5" customHeight="1"/>
    <row r="448" ht="34.5" customHeight="1"/>
    <row r="449" ht="34.5" customHeight="1"/>
    <row r="450" ht="34.5" customHeight="1"/>
    <row r="451" ht="34.5" customHeight="1"/>
    <row r="452" ht="34.5" customHeight="1"/>
    <row r="453" ht="34.5" customHeight="1"/>
    <row r="454" ht="34.5" customHeight="1"/>
    <row r="455" ht="34.5" customHeight="1"/>
    <row r="456" ht="34.5" customHeight="1"/>
    <row r="457" ht="34.5" customHeight="1"/>
    <row r="458" ht="34.5" customHeight="1"/>
    <row r="459" ht="34.5" customHeight="1"/>
    <row r="460" ht="34.5" customHeight="1"/>
    <row r="461" ht="34.5" customHeight="1"/>
    <row r="462" ht="34.5" customHeight="1"/>
    <row r="463" ht="34.5" customHeight="1"/>
    <row r="464" ht="34.5" customHeight="1"/>
    <row r="465" ht="34.5" customHeight="1"/>
    <row r="466" ht="34.5" customHeight="1"/>
    <row r="467" ht="34.5" customHeight="1"/>
    <row r="468" ht="34.5" customHeight="1"/>
    <row r="469" ht="34.5" customHeight="1"/>
    <row r="470" ht="34.5" customHeight="1"/>
    <row r="471" ht="34.5" customHeight="1"/>
    <row r="472" ht="34.5" customHeight="1"/>
    <row r="473" ht="34.5" customHeight="1"/>
    <row r="474" ht="34.5" customHeight="1"/>
    <row r="475" ht="34.5" customHeight="1"/>
    <row r="476" ht="34.5" customHeight="1"/>
    <row r="477" ht="34.5" customHeight="1"/>
    <row r="478" ht="34.5" customHeight="1"/>
    <row r="479" ht="34.5" customHeight="1"/>
    <row r="480" ht="34.5" customHeight="1"/>
    <row r="481" ht="34.5" customHeight="1"/>
    <row r="482" ht="34.5" customHeight="1"/>
    <row r="483" ht="34.5" customHeight="1"/>
    <row r="484" ht="34.5" customHeight="1"/>
    <row r="485" ht="34.5" customHeight="1"/>
    <row r="486" ht="34.5" customHeight="1"/>
    <row r="487" ht="34.5" customHeight="1"/>
    <row r="488" ht="34.5" customHeight="1"/>
    <row r="489" ht="34.5" customHeight="1"/>
    <row r="490" ht="34.5" customHeight="1"/>
    <row r="491" ht="34.5" customHeight="1"/>
    <row r="492" ht="34.5" customHeight="1"/>
    <row r="493" ht="34.5" customHeight="1"/>
    <row r="494" ht="34.5" customHeight="1"/>
    <row r="495" ht="34.5" customHeight="1"/>
    <row r="496" ht="34.5" customHeight="1"/>
    <row r="497" ht="34.5" customHeight="1"/>
    <row r="498" ht="34.5" customHeight="1"/>
    <row r="499" ht="34.5" customHeight="1"/>
    <row r="500" ht="34.5" customHeight="1"/>
    <row r="501" ht="34.5" customHeight="1"/>
    <row r="502" ht="34.5" customHeight="1"/>
    <row r="503" ht="34.5" customHeight="1"/>
    <row r="504" ht="34.5" customHeight="1"/>
    <row r="505" ht="34.5" customHeight="1"/>
    <row r="506" ht="34.5" customHeight="1"/>
    <row r="507" ht="34.5" customHeight="1"/>
    <row r="508" ht="34.5" customHeight="1"/>
    <row r="509" ht="34.5" customHeight="1"/>
    <row r="510" ht="34.5" customHeight="1"/>
    <row r="511" ht="34.5" customHeight="1"/>
    <row r="512" ht="34.5" customHeight="1"/>
    <row r="513" ht="34.5" customHeight="1"/>
    <row r="514" ht="34.5" customHeight="1"/>
    <row r="515" ht="34.5" customHeight="1"/>
    <row r="516" ht="34.5" customHeight="1"/>
    <row r="517" ht="34.5" customHeight="1"/>
    <row r="518" ht="34.5" customHeight="1"/>
    <row r="519" ht="34.5" customHeight="1"/>
    <row r="520" ht="34.5" customHeight="1"/>
    <row r="521" ht="34.5" customHeight="1"/>
    <row r="522" ht="34.5" customHeight="1"/>
    <row r="523" ht="34.5" customHeight="1"/>
    <row r="524" ht="34.5" customHeight="1"/>
    <row r="525" ht="34.5" customHeight="1"/>
    <row r="526" ht="34.5" customHeight="1"/>
    <row r="527" ht="34.5" customHeight="1"/>
    <row r="528" ht="34.5" customHeight="1"/>
    <row r="529" ht="34.5" customHeight="1"/>
    <row r="530" ht="34.5" customHeight="1"/>
    <row r="531" ht="34.5" customHeight="1"/>
    <row r="532" ht="34.5" customHeight="1"/>
    <row r="533" ht="34.5" customHeight="1"/>
    <row r="534" ht="34.5" customHeight="1"/>
    <row r="535" ht="34.5" customHeight="1"/>
    <row r="536" ht="34.5" customHeight="1"/>
    <row r="537" ht="34.5" customHeight="1"/>
    <row r="538" ht="34.5" customHeight="1"/>
    <row r="539" ht="34.5" customHeight="1"/>
    <row r="540" ht="34.5" customHeight="1"/>
    <row r="541" ht="34.5" customHeight="1"/>
    <row r="542" ht="34.5" customHeight="1"/>
    <row r="543" ht="34.5" customHeight="1"/>
    <row r="544" ht="34.5" customHeight="1"/>
    <row r="545" ht="34.5" customHeight="1"/>
    <row r="546" ht="34.5" customHeight="1"/>
    <row r="547" ht="34.5" customHeight="1"/>
    <row r="548" ht="34.5" customHeight="1"/>
    <row r="549" ht="34.5" customHeight="1"/>
    <row r="550" ht="34.5" customHeight="1"/>
    <row r="551" ht="34.5" customHeight="1"/>
    <row r="552" ht="34.5" customHeight="1"/>
    <row r="553" ht="34.5" customHeight="1"/>
    <row r="554" ht="34.5" customHeight="1"/>
    <row r="555" ht="34.5" customHeight="1"/>
    <row r="556" ht="34.5" customHeight="1"/>
    <row r="557" ht="34.5" customHeight="1"/>
    <row r="558" ht="34.5" customHeight="1"/>
    <row r="559" ht="34.5" customHeight="1"/>
    <row r="560" ht="34.5" customHeight="1"/>
    <row r="561" ht="34.5" customHeight="1"/>
    <row r="562" ht="34.5" customHeight="1"/>
    <row r="563" ht="34.5" customHeight="1"/>
    <row r="564" ht="34.5" customHeight="1"/>
    <row r="565" ht="34.5" customHeight="1"/>
    <row r="566" ht="34.5" customHeight="1"/>
    <row r="567" ht="34.5" customHeight="1"/>
    <row r="568" ht="34.5" customHeight="1"/>
    <row r="569" ht="34.5" customHeight="1"/>
    <row r="570" ht="34.5" customHeight="1"/>
    <row r="571" ht="34.5" customHeight="1"/>
    <row r="572" ht="34.5" customHeight="1"/>
    <row r="573" ht="34.5" customHeight="1"/>
    <row r="574" ht="34.5" customHeight="1"/>
    <row r="575" ht="34.5" customHeight="1"/>
    <row r="576" ht="34.5" customHeight="1"/>
    <row r="577" ht="34.5" customHeight="1"/>
    <row r="578" ht="34.5" customHeight="1"/>
    <row r="579" ht="34.5" customHeight="1"/>
    <row r="580" ht="34.5" customHeight="1"/>
    <row r="581" ht="34.5" customHeight="1"/>
    <row r="582" ht="34.5" customHeight="1"/>
    <row r="583" ht="34.5" customHeight="1"/>
    <row r="584" ht="34.5" customHeight="1"/>
    <row r="585" ht="34.5" customHeight="1"/>
    <row r="586" ht="34.5" customHeight="1"/>
    <row r="587" ht="34.5" customHeight="1"/>
    <row r="588" ht="34.5" customHeight="1"/>
    <row r="589" ht="34.5" customHeight="1"/>
    <row r="590" ht="34.5" customHeight="1"/>
    <row r="591" ht="34.5" customHeight="1"/>
    <row r="592" ht="34.5" customHeight="1"/>
    <row r="593" ht="34.5" customHeight="1"/>
    <row r="594" ht="34.5" customHeight="1"/>
    <row r="595" ht="34.5" customHeight="1"/>
    <row r="596" ht="34.5" customHeight="1"/>
    <row r="597" ht="34.5" customHeight="1"/>
    <row r="598" ht="34.5" customHeight="1"/>
    <row r="599" ht="34.5" customHeight="1"/>
    <row r="600" ht="34.5" customHeight="1"/>
    <row r="601" ht="34.5" customHeight="1"/>
    <row r="602" ht="34.5" customHeight="1"/>
    <row r="603" ht="34.5" customHeight="1"/>
    <row r="604" ht="34.5" customHeight="1"/>
    <row r="605" ht="34.5" customHeight="1"/>
    <row r="606" ht="34.5" customHeight="1"/>
    <row r="607" ht="34.5" customHeight="1"/>
    <row r="608" ht="34.5" customHeight="1"/>
    <row r="609" ht="34.5" customHeight="1"/>
    <row r="610" ht="34.5" customHeight="1"/>
    <row r="611" ht="34.5" customHeight="1"/>
    <row r="612" ht="34.5" customHeight="1"/>
    <row r="613" ht="34.5" customHeight="1"/>
    <row r="614" ht="34.5" customHeight="1"/>
    <row r="615" ht="34.5" customHeight="1"/>
    <row r="616" ht="34.5" customHeight="1"/>
    <row r="617" ht="34.5" customHeight="1"/>
    <row r="618" ht="34.5" customHeight="1"/>
    <row r="619" ht="34.5" customHeight="1"/>
    <row r="620" ht="34.5" customHeight="1"/>
    <row r="621" ht="34.5" customHeight="1"/>
    <row r="622" ht="34.5" customHeight="1"/>
    <row r="623" ht="34.5" customHeight="1"/>
    <row r="624" ht="34.5" customHeight="1"/>
    <row r="625" ht="34.5" customHeight="1"/>
    <row r="626" ht="34.5" customHeight="1"/>
    <row r="627" ht="34.5" customHeight="1"/>
    <row r="628" ht="34.5" customHeight="1"/>
    <row r="629" ht="34.5" customHeight="1"/>
    <row r="630" ht="34.5" customHeight="1"/>
    <row r="631" ht="34.5" customHeight="1"/>
    <row r="632" ht="34.5" customHeight="1"/>
    <row r="633" ht="34.5" customHeight="1"/>
    <row r="634" ht="34.5" customHeight="1"/>
    <row r="635" ht="34.5" customHeight="1"/>
    <row r="636" ht="34.5" customHeight="1"/>
    <row r="637" ht="34.5" customHeight="1"/>
    <row r="638" ht="34.5" customHeight="1"/>
    <row r="639" ht="34.5" customHeight="1"/>
    <row r="640" ht="34.5" customHeight="1"/>
    <row r="641" ht="34.5" customHeight="1"/>
    <row r="642" ht="34.5" customHeight="1"/>
    <row r="643" ht="34.5" customHeight="1"/>
    <row r="644" ht="34.5" customHeight="1"/>
    <row r="645" ht="34.5" customHeight="1"/>
    <row r="646" ht="34.5" customHeight="1"/>
    <row r="647" ht="34.5" customHeight="1"/>
    <row r="648" ht="34.5" customHeight="1"/>
    <row r="649" ht="34.5" customHeight="1"/>
    <row r="650" ht="34.5" customHeight="1"/>
    <row r="651" ht="34.5" customHeight="1"/>
    <row r="652" ht="34.5" customHeight="1"/>
    <row r="653" ht="34.5" customHeight="1"/>
    <row r="654" ht="34.5" customHeight="1"/>
    <row r="655" ht="34.5" customHeight="1"/>
    <row r="656" ht="34.5" customHeight="1"/>
    <row r="657" ht="34.5" customHeight="1"/>
    <row r="658" ht="34.5" customHeight="1"/>
    <row r="659" ht="34.5" customHeight="1"/>
    <row r="660" ht="34.5" customHeight="1"/>
    <row r="661" ht="34.5" customHeight="1"/>
    <row r="662" ht="34.5" customHeight="1"/>
    <row r="663" ht="34.5" customHeight="1"/>
    <row r="664" ht="34.5" customHeight="1"/>
    <row r="665" ht="34.5" customHeight="1"/>
    <row r="666" ht="34.5" customHeight="1"/>
    <row r="667" ht="34.5" customHeight="1"/>
    <row r="668" ht="34.5" customHeight="1"/>
    <row r="669" ht="34.5" customHeight="1"/>
    <row r="670" ht="34.5" customHeight="1"/>
    <row r="671" ht="34.5" customHeight="1"/>
    <row r="672" ht="34.5" customHeight="1"/>
    <row r="673" ht="34.5" customHeight="1"/>
    <row r="674" ht="34.5" customHeight="1"/>
    <row r="675" ht="34.5" customHeight="1"/>
    <row r="676" ht="34.5" customHeight="1"/>
    <row r="677" ht="34.5" customHeight="1"/>
    <row r="678" ht="34.5" customHeight="1"/>
    <row r="679" ht="34.5" customHeight="1"/>
    <row r="680" ht="34.5" customHeight="1"/>
    <row r="681" ht="34.5" customHeight="1"/>
    <row r="682" ht="34.5" customHeight="1"/>
    <row r="683" ht="34.5" customHeight="1"/>
    <row r="684" ht="34.5" customHeight="1"/>
    <row r="685" ht="34.5" customHeight="1"/>
    <row r="686" ht="34.5" customHeight="1"/>
    <row r="687" ht="34.5" customHeight="1"/>
    <row r="688" ht="34.5" customHeight="1"/>
    <row r="689" ht="34.5" customHeight="1"/>
    <row r="690" ht="34.5" customHeight="1"/>
    <row r="691" ht="34.5" customHeight="1"/>
    <row r="692" ht="34.5" customHeight="1"/>
    <row r="693" ht="34.5" customHeight="1"/>
    <row r="694" ht="34.5" customHeight="1"/>
    <row r="695" ht="34.5" customHeight="1"/>
    <row r="696" ht="34.5" customHeight="1"/>
    <row r="697" ht="34.5" customHeight="1"/>
    <row r="698" ht="34.5" customHeight="1"/>
    <row r="699" ht="34.5" customHeight="1"/>
    <row r="700" ht="34.5" customHeight="1"/>
    <row r="701" ht="34.5" customHeight="1"/>
    <row r="702" ht="34.5" customHeight="1"/>
    <row r="703" ht="34.5" customHeight="1"/>
    <row r="704" ht="34.5" customHeight="1"/>
    <row r="705" ht="34.5" customHeight="1"/>
    <row r="706" ht="34.5" customHeight="1"/>
    <row r="707" ht="34.5" customHeight="1"/>
    <row r="708" ht="34.5" customHeight="1"/>
    <row r="709" ht="34.5" customHeight="1"/>
    <row r="710" ht="34.5" customHeight="1"/>
    <row r="711" ht="34.5" customHeight="1"/>
    <row r="712" ht="34.5" customHeight="1"/>
    <row r="713" ht="34.5" customHeight="1"/>
    <row r="714" ht="34.5" customHeight="1"/>
    <row r="715" ht="34.5" customHeight="1"/>
    <row r="716" ht="34.5" customHeight="1"/>
    <row r="717" ht="34.5" customHeight="1"/>
    <row r="718" ht="34.5" customHeight="1"/>
    <row r="719" ht="34.5" customHeight="1"/>
    <row r="720" ht="34.5" customHeight="1"/>
    <row r="721" ht="34.5" customHeight="1"/>
    <row r="722" ht="34.5" customHeight="1"/>
    <row r="723" ht="34.5" customHeight="1"/>
    <row r="724" ht="34.5" customHeight="1"/>
    <row r="725" ht="34.5" customHeight="1"/>
    <row r="726" ht="34.5" customHeight="1"/>
    <row r="727" ht="34.5" customHeight="1"/>
    <row r="728" ht="34.5" customHeight="1"/>
    <row r="729" ht="34.5" customHeight="1"/>
    <row r="730" ht="34.5" customHeight="1"/>
    <row r="731" ht="34.5" customHeight="1"/>
    <row r="732" ht="34.5" customHeight="1"/>
    <row r="733" ht="34.5" customHeight="1"/>
    <row r="734" ht="34.5" customHeight="1"/>
    <row r="735" ht="34.5" customHeight="1"/>
    <row r="736" ht="34.5" customHeight="1"/>
    <row r="737" ht="34.5" customHeight="1"/>
    <row r="738" ht="34.5" customHeight="1"/>
    <row r="739" ht="34.5" customHeight="1"/>
    <row r="740" ht="34.5" customHeight="1"/>
    <row r="741" ht="34.5" customHeight="1"/>
    <row r="742" ht="34.5" customHeight="1"/>
    <row r="743" ht="34.5" customHeight="1"/>
    <row r="744" ht="34.5" customHeight="1"/>
    <row r="745" ht="34.5" customHeight="1"/>
    <row r="746" ht="34.5" customHeight="1"/>
    <row r="747" ht="34.5" customHeight="1"/>
    <row r="748" ht="34.5" customHeight="1"/>
    <row r="749" ht="34.5" customHeight="1"/>
    <row r="750" ht="34.5" customHeight="1"/>
    <row r="751" ht="34.5" customHeight="1"/>
    <row r="752" ht="34.5" customHeight="1"/>
    <row r="753" ht="34.5" customHeight="1"/>
    <row r="754" ht="34.5" customHeight="1"/>
    <row r="755" ht="34.5" customHeight="1"/>
    <row r="756" ht="34.5" customHeight="1"/>
    <row r="757" ht="34.5" customHeight="1"/>
    <row r="758" ht="34.5" customHeight="1"/>
    <row r="759" ht="34.5" customHeight="1"/>
    <row r="760" ht="34.5" customHeight="1"/>
    <row r="761" ht="34.5" customHeight="1"/>
    <row r="762" ht="34.5" customHeight="1"/>
    <row r="763" ht="34.5" customHeight="1"/>
    <row r="764" ht="34.5" customHeight="1"/>
    <row r="765" ht="34.5" customHeight="1"/>
    <row r="766" ht="34.5" customHeight="1"/>
    <row r="767" ht="34.5" customHeight="1"/>
    <row r="768" ht="34.5" customHeight="1"/>
    <row r="769" ht="34.5" customHeight="1"/>
    <row r="770" ht="34.5" customHeight="1"/>
    <row r="771" ht="34.5" customHeight="1"/>
    <row r="772" ht="34.5" customHeight="1"/>
    <row r="773" ht="34.5" customHeight="1"/>
    <row r="774" ht="34.5" customHeight="1"/>
    <row r="775" ht="34.5" customHeight="1"/>
    <row r="776" ht="34.5" customHeight="1"/>
    <row r="777" ht="34.5" customHeight="1"/>
    <row r="778" ht="34.5" customHeight="1"/>
    <row r="779" ht="34.5" customHeight="1"/>
    <row r="780" ht="34.5" customHeight="1"/>
    <row r="781" ht="34.5" customHeight="1"/>
    <row r="782" ht="34.5" customHeight="1"/>
    <row r="783" ht="34.5" customHeight="1"/>
    <row r="784" ht="34.5" customHeight="1"/>
    <row r="785" ht="34.5" customHeight="1"/>
    <row r="786" ht="34.5" customHeight="1"/>
    <row r="787" ht="34.5" customHeight="1"/>
    <row r="788" ht="34.5" customHeight="1"/>
    <row r="789" ht="34.5" customHeight="1"/>
    <row r="790" ht="34.5" customHeight="1"/>
    <row r="791" ht="34.5" customHeight="1"/>
    <row r="792" ht="34.5" customHeight="1"/>
    <row r="793" ht="34.5" customHeight="1"/>
    <row r="794" ht="34.5" customHeight="1"/>
    <row r="795" ht="34.5" customHeight="1"/>
    <row r="796" ht="34.5" customHeight="1"/>
    <row r="797" ht="34.5" customHeight="1"/>
    <row r="798" ht="34.5" customHeight="1"/>
    <row r="799" ht="34.5" customHeight="1"/>
    <row r="800" ht="34.5" customHeight="1"/>
    <row r="801" ht="34.5" customHeight="1"/>
    <row r="802" ht="34.5" customHeight="1"/>
    <row r="803" ht="34.5" customHeight="1"/>
    <row r="804" ht="34.5" customHeight="1"/>
    <row r="805" ht="34.5" customHeight="1"/>
    <row r="806" ht="34.5" customHeight="1"/>
    <row r="807" ht="34.5" customHeight="1"/>
    <row r="808" ht="34.5" customHeight="1"/>
    <row r="809" ht="34.5" customHeight="1"/>
    <row r="810" ht="34.5" customHeight="1"/>
    <row r="811" ht="34.5" customHeight="1"/>
    <row r="812" ht="34.5" customHeight="1"/>
    <row r="813" ht="34.5" customHeight="1"/>
    <row r="814" ht="34.5" customHeight="1"/>
    <row r="815" ht="34.5" customHeight="1"/>
    <row r="816" ht="34.5" customHeight="1"/>
    <row r="817" ht="34.5" customHeight="1"/>
    <row r="818" ht="34.5" customHeight="1"/>
    <row r="819" ht="34.5" customHeight="1"/>
    <row r="820" ht="34.5" customHeight="1"/>
    <row r="821" ht="34.5" customHeight="1"/>
    <row r="822" ht="34.5" customHeight="1"/>
    <row r="823" ht="34.5" customHeight="1"/>
    <row r="824" ht="34.5" customHeight="1"/>
    <row r="825" ht="34.5" customHeight="1"/>
    <row r="826" ht="34.5" customHeight="1"/>
    <row r="827" ht="34.5" customHeight="1"/>
    <row r="828" ht="34.5" customHeight="1"/>
    <row r="829" ht="34.5" customHeight="1"/>
    <row r="830" ht="34.5" customHeight="1"/>
    <row r="831" ht="34.5" customHeight="1"/>
    <row r="832" ht="34.5" customHeight="1"/>
    <row r="833" ht="34.5" customHeight="1"/>
    <row r="834" ht="34.5" customHeight="1"/>
    <row r="835" ht="34.5" customHeight="1"/>
    <row r="836" ht="34.5" customHeight="1"/>
    <row r="837" ht="34.5" customHeight="1"/>
    <row r="838" ht="34.5" customHeight="1"/>
    <row r="839" ht="34.5" customHeight="1"/>
    <row r="840" ht="34.5" customHeight="1"/>
    <row r="841" ht="34.5" customHeight="1"/>
    <row r="842" ht="34.5" customHeight="1"/>
    <row r="843" ht="34.5" customHeight="1"/>
    <row r="844" ht="34.5" customHeight="1"/>
    <row r="845" ht="34.5" customHeight="1"/>
    <row r="846" ht="34.5" customHeight="1"/>
    <row r="847" ht="34.5" customHeight="1"/>
    <row r="848" ht="34.5" customHeight="1"/>
    <row r="849" ht="34.5" customHeight="1"/>
    <row r="850" ht="34.5" customHeight="1"/>
    <row r="851" ht="34.5" customHeight="1"/>
    <row r="852" ht="34.5" customHeight="1"/>
    <row r="853" ht="34.5" customHeight="1"/>
    <row r="854" ht="34.5" customHeight="1"/>
    <row r="855" ht="34.5" customHeight="1"/>
    <row r="856" ht="34.5" customHeight="1"/>
    <row r="857" ht="34.5" customHeight="1"/>
    <row r="858" ht="34.5" customHeight="1"/>
    <row r="859" ht="34.5" customHeight="1"/>
    <row r="860" ht="34.5" customHeight="1"/>
    <row r="861" ht="34.5" customHeight="1"/>
    <row r="862" ht="34.5" customHeight="1"/>
    <row r="863" ht="34.5" customHeight="1"/>
    <row r="864" ht="34.5" customHeight="1"/>
    <row r="865" ht="34.5" customHeight="1"/>
    <row r="866" ht="34.5" customHeight="1"/>
    <row r="867" ht="34.5" customHeight="1"/>
    <row r="868" ht="34.5" customHeight="1"/>
    <row r="869" ht="34.5" customHeight="1"/>
    <row r="870" ht="34.5" customHeight="1"/>
    <row r="871" ht="34.5" customHeight="1"/>
    <row r="872" ht="34.5" customHeight="1"/>
    <row r="873" ht="34.5" customHeight="1"/>
    <row r="874" ht="34.5" customHeight="1"/>
    <row r="875" ht="34.5" customHeight="1"/>
    <row r="876" ht="34.5" customHeight="1"/>
    <row r="877" ht="34.5" customHeight="1"/>
    <row r="878" ht="34.5" customHeight="1"/>
    <row r="879" ht="34.5" customHeight="1"/>
    <row r="880" ht="34.5" customHeight="1"/>
    <row r="881" ht="34.5" customHeight="1"/>
    <row r="882" ht="34.5" customHeight="1"/>
    <row r="883" ht="34.5" customHeight="1"/>
    <row r="884" ht="34.5" customHeight="1"/>
    <row r="885" ht="34.5" customHeight="1"/>
    <row r="886" ht="34.5" customHeight="1"/>
    <row r="887" ht="34.5" customHeight="1"/>
    <row r="888" ht="34.5" customHeight="1"/>
    <row r="889" ht="34.5" customHeight="1"/>
    <row r="890" ht="34.5" customHeight="1"/>
    <row r="891" ht="34.5" customHeight="1"/>
    <row r="892" ht="34.5" customHeight="1"/>
    <row r="893" ht="34.5" customHeight="1"/>
    <row r="894" ht="34.5" customHeight="1"/>
    <row r="895" ht="34.5" customHeight="1"/>
    <row r="896" ht="34.5" customHeight="1"/>
    <row r="897" ht="34.5" customHeight="1"/>
    <row r="898" ht="34.5" customHeight="1"/>
    <row r="899" ht="34.5" customHeight="1"/>
    <row r="900" ht="34.5" customHeight="1"/>
    <row r="901" ht="34.5" customHeight="1"/>
    <row r="902" ht="34.5" customHeight="1"/>
    <row r="903" ht="34.5" customHeight="1"/>
    <row r="904" ht="34.5" customHeight="1"/>
    <row r="905" ht="34.5" customHeight="1"/>
    <row r="906" ht="34.5" customHeight="1"/>
    <row r="907" ht="34.5" customHeight="1"/>
    <row r="908" ht="34.5" customHeight="1"/>
    <row r="909" ht="34.5" customHeight="1"/>
    <row r="910" ht="34.5" customHeight="1"/>
    <row r="911" ht="34.5" customHeight="1"/>
    <row r="912" ht="34.5" customHeight="1"/>
    <row r="913" ht="34.5" customHeight="1"/>
    <row r="914" ht="34.5" customHeight="1"/>
    <row r="915" ht="34.5" customHeight="1"/>
    <row r="916" ht="34.5" customHeight="1"/>
    <row r="917" ht="34.5" customHeight="1"/>
    <row r="918" ht="34.5" customHeight="1"/>
    <row r="919" ht="34.5" customHeight="1"/>
    <row r="920" ht="34.5" customHeight="1"/>
    <row r="921" ht="34.5" customHeight="1"/>
    <row r="922" ht="34.5" customHeight="1"/>
    <row r="923" ht="34.5" customHeight="1"/>
    <row r="924" ht="34.5" customHeight="1"/>
    <row r="925" ht="34.5" customHeight="1"/>
    <row r="926" ht="34.5" customHeight="1"/>
    <row r="927" ht="34.5" customHeight="1"/>
    <row r="928" ht="34.5" customHeight="1"/>
    <row r="929" ht="34.5" customHeight="1"/>
    <row r="930" ht="34.5" customHeight="1"/>
    <row r="931" ht="34.5" customHeight="1"/>
    <row r="932" ht="34.5" customHeight="1"/>
    <row r="933" ht="34.5" customHeight="1"/>
    <row r="934" ht="34.5" customHeight="1"/>
    <row r="935" ht="34.5" customHeight="1"/>
    <row r="936" ht="34.5" customHeight="1"/>
    <row r="937" ht="34.5" customHeight="1"/>
    <row r="938" ht="34.5" customHeight="1"/>
    <row r="939" ht="34.5" customHeight="1"/>
    <row r="940" ht="34.5" customHeight="1"/>
    <row r="941" ht="34.5" customHeight="1"/>
    <row r="942" ht="34.5" customHeight="1"/>
    <row r="943" ht="34.5" customHeight="1"/>
    <row r="944" ht="34.5" customHeight="1"/>
    <row r="945" ht="34.5" customHeight="1"/>
    <row r="946" ht="34.5" customHeight="1"/>
    <row r="947" ht="34.5" customHeight="1"/>
    <row r="948" ht="34.5" customHeight="1"/>
    <row r="949" ht="34.5" customHeight="1"/>
    <row r="950" ht="34.5" customHeight="1"/>
    <row r="951" ht="34.5" customHeight="1"/>
    <row r="952" ht="34.5" customHeight="1"/>
    <row r="953" ht="34.5" customHeight="1"/>
    <row r="954" ht="34.5" customHeight="1"/>
    <row r="955" ht="34.5" customHeight="1"/>
    <row r="956" ht="34.5" customHeight="1"/>
    <row r="957" ht="34.5" customHeight="1"/>
    <row r="958" ht="34.5" customHeight="1"/>
    <row r="959" ht="34.5" customHeight="1"/>
    <row r="960" ht="34.5" customHeight="1"/>
    <row r="961" ht="34.5" customHeight="1"/>
    <row r="962" ht="34.5" customHeight="1"/>
    <row r="963" ht="34.5" customHeight="1"/>
    <row r="964" ht="34.5" customHeight="1"/>
    <row r="965" ht="34.5" customHeight="1"/>
    <row r="966" ht="34.5" customHeight="1"/>
    <row r="967" ht="34.5" customHeight="1"/>
    <row r="968" ht="34.5" customHeight="1"/>
    <row r="969" ht="34.5" customHeight="1"/>
    <row r="970" ht="34.5" customHeight="1"/>
    <row r="971" ht="34.5" customHeight="1"/>
    <row r="972" ht="34.5" customHeight="1"/>
    <row r="973" ht="34.5" customHeight="1"/>
    <row r="974" ht="34.5" customHeight="1"/>
    <row r="975" ht="34.5" customHeight="1"/>
    <row r="976" ht="34.5" customHeight="1"/>
    <row r="977" ht="34.5" customHeight="1"/>
    <row r="978" ht="34.5" customHeight="1"/>
    <row r="979" ht="34.5" customHeight="1"/>
    <row r="980" ht="34.5" customHeight="1"/>
    <row r="981" ht="34.5" customHeight="1"/>
    <row r="982" ht="34.5" customHeight="1"/>
    <row r="983" ht="34.5" customHeight="1"/>
    <row r="984" ht="34.5" customHeight="1"/>
    <row r="985" ht="34.5" customHeight="1"/>
    <row r="986" ht="34.5" customHeight="1"/>
    <row r="987" ht="34.5" customHeight="1"/>
    <row r="988" ht="34.5" customHeight="1"/>
    <row r="989" ht="34.5" customHeight="1"/>
    <row r="990" ht="34.5" customHeight="1"/>
    <row r="991" ht="34.5" customHeight="1"/>
    <row r="992" ht="34.5" customHeight="1"/>
    <row r="993" ht="34.5" customHeight="1"/>
    <row r="994" ht="34.5" customHeight="1"/>
    <row r="995" ht="34.5" customHeight="1"/>
    <row r="996" ht="34.5" customHeight="1"/>
    <row r="997" ht="34.5" customHeight="1"/>
    <row r="998" ht="34.5" customHeight="1"/>
    <row r="999" ht="34.5" customHeight="1"/>
    <row r="1000" ht="34.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7.14"/>
    <col customWidth="1" min="3" max="3" width="67.43"/>
  </cols>
  <sheetData>
    <row r="1" ht="36.75" customHeight="1">
      <c r="A1" s="16" t="s">
        <v>2916</v>
      </c>
      <c r="B1" s="16" t="str">
        <f>IMAGE("https://lmztiles.s3.eu-west-1.amazonaws.com/Modern_Interiors_v41.3.4/1_Interiors/16x16/Theme_Sorter_Singles/15_Christmas_Singles/Christmas_SIngles_1.png")</f>
        <v/>
      </c>
    </row>
    <row r="2" ht="36.75" customHeight="1">
      <c r="A2" s="16" t="s">
        <v>2917</v>
      </c>
      <c r="B2" s="16" t="str">
        <f>IMAGE("https://lmztiles.s3.eu-west-1.amazonaws.com/Modern_Interiors_v41.3.4/1_Interiors/16x16/Theme_Sorter_Singles/15_Christmas_Singles/Christmas_SIngles_2.png")</f>
        <v/>
      </c>
    </row>
    <row r="3" ht="36.75" customHeight="1">
      <c r="A3" s="16" t="s">
        <v>2918</v>
      </c>
      <c r="B3" s="16" t="str">
        <f>IMAGE("https://lmztiles.s3.eu-west-1.amazonaws.com/Modern_Interiors_v41.3.4/1_Interiors/16x16/Theme_Sorter_Singles/15_Christmas_Singles/Christmas_SIngles_3.png")</f>
        <v/>
      </c>
    </row>
    <row r="4" ht="36.75" customHeight="1">
      <c r="A4" s="16" t="s">
        <v>2919</v>
      </c>
      <c r="B4" s="16" t="str">
        <f>IMAGE("https://lmztiles.s3.eu-west-1.amazonaws.com/Modern_Interiors_v41.3.4/1_Interiors/16x16/Theme_Sorter_Singles/15_Christmas_Singles/Christmas_SIngles_4.png")</f>
        <v/>
      </c>
    </row>
    <row r="5" ht="36.75" customHeight="1">
      <c r="A5" s="16" t="s">
        <v>2920</v>
      </c>
      <c r="B5" s="16" t="str">
        <f>IMAGE("https://lmztiles.s3.eu-west-1.amazonaws.com/Modern_Interiors_v41.3.4/1_Interiors/16x16/Theme_Sorter_Singles/15_Christmas_Singles/Christmas_SIngles_5.png")</f>
        <v/>
      </c>
    </row>
    <row r="6" ht="36.75" customHeight="1">
      <c r="A6" s="16" t="s">
        <v>2921</v>
      </c>
      <c r="B6" s="16" t="str">
        <f>IMAGE("https://lmztiles.s3.eu-west-1.amazonaws.com/Modern_Interiors_v41.3.4/1_Interiors/16x16/Theme_Sorter_Singles/15_Christmas_Singles/Christmas_SIngles_6.png")</f>
        <v/>
      </c>
    </row>
    <row r="7" ht="36.75" customHeight="1">
      <c r="A7" s="16" t="s">
        <v>2922</v>
      </c>
      <c r="B7" s="16" t="str">
        <f>IMAGE("https://lmztiles.s3.eu-west-1.amazonaws.com/Modern_Interiors_v41.3.4/1_Interiors/16x16/Theme_Sorter_Singles/15_Christmas_Singles/Christmas_SIngles_7.png")</f>
        <v/>
      </c>
    </row>
    <row r="8" ht="36.75" customHeight="1">
      <c r="A8" s="16" t="s">
        <v>2923</v>
      </c>
      <c r="B8" s="16" t="str">
        <f>IMAGE("https://lmztiles.s3.eu-west-1.amazonaws.com/Modern_Interiors_v41.3.4/1_Interiors/16x16/Theme_Sorter_Singles/15_Christmas_Singles/Christmas_SIngles_8.png")</f>
        <v/>
      </c>
    </row>
    <row r="9" ht="36.75" customHeight="1">
      <c r="A9" s="16" t="s">
        <v>2924</v>
      </c>
      <c r="B9" s="16" t="str">
        <f>IMAGE("https://lmztiles.s3.eu-west-1.amazonaws.com/Modern_Interiors_v41.3.4/1_Interiors/16x16/Theme_Sorter_Singles/15_Christmas_Singles/Christmas_SIngles_9.png")</f>
        <v/>
      </c>
    </row>
    <row r="10" ht="36.75" customHeight="1">
      <c r="A10" s="16" t="s">
        <v>2925</v>
      </c>
      <c r="B10" s="16" t="str">
        <f>IMAGE("https://lmztiles.s3.eu-west-1.amazonaws.com/Modern_Interiors_v41.3.4/1_Interiors/16x16/Theme_Sorter_Singles/15_Christmas_Singles/Christmas_SIngles_10.png")</f>
        <v/>
      </c>
    </row>
    <row r="11" ht="36.75" customHeight="1">
      <c r="A11" s="16" t="s">
        <v>2926</v>
      </c>
      <c r="B11" s="16" t="str">
        <f>IMAGE("https://lmztiles.s3.eu-west-1.amazonaws.com/Modern_Interiors_v41.3.4/1_Interiors/16x16/Theme_Sorter_Singles/15_Christmas_Singles/Christmas_SIngles_11.png")</f>
        <v/>
      </c>
    </row>
    <row r="12" ht="36.75" customHeight="1">
      <c r="A12" s="16" t="s">
        <v>2927</v>
      </c>
      <c r="B12" s="16" t="str">
        <f>IMAGE("https://lmztiles.s3.eu-west-1.amazonaws.com/Modern_Interiors_v41.3.4/1_Interiors/16x16/Theme_Sorter_Singles/15_Christmas_Singles/Christmas_SIngles_12.png")</f>
        <v/>
      </c>
    </row>
    <row r="13" ht="36.75" customHeight="1">
      <c r="A13" s="16" t="s">
        <v>2928</v>
      </c>
      <c r="B13" s="16" t="str">
        <f>IMAGE("https://lmztiles.s3.eu-west-1.amazonaws.com/Modern_Interiors_v41.3.4/1_Interiors/16x16/Theme_Sorter_Singles/15_Christmas_Singles/Christmas_SIngles_13.png")</f>
        <v/>
      </c>
    </row>
    <row r="14" ht="36.75" customHeight="1">
      <c r="A14" s="16" t="s">
        <v>2929</v>
      </c>
      <c r="B14" s="16" t="str">
        <f>IMAGE("https://lmztiles.s3.eu-west-1.amazonaws.com/Modern_Interiors_v41.3.4/1_Interiors/16x16/Theme_Sorter_Singles/15_Christmas_Singles/Christmas_SIngles_14.png")</f>
        <v/>
      </c>
    </row>
    <row r="15" ht="36.75" customHeight="1">
      <c r="A15" s="16" t="s">
        <v>2930</v>
      </c>
      <c r="B15" s="16" t="str">
        <f>IMAGE("https://lmztiles.s3.eu-west-1.amazonaws.com/Modern_Interiors_v41.3.4/1_Interiors/16x16/Theme_Sorter_Singles/15_Christmas_Singles/Christmas_SIngles_15.png")</f>
        <v/>
      </c>
    </row>
    <row r="16" ht="36.75" customHeight="1">
      <c r="A16" s="16" t="s">
        <v>2931</v>
      </c>
      <c r="B16" s="16" t="str">
        <f>IMAGE("https://lmztiles.s3.eu-west-1.amazonaws.com/Modern_Interiors_v41.3.4/1_Interiors/16x16/Theme_Sorter_Singles/15_Christmas_Singles/Christmas_SIngles_16.png")</f>
        <v/>
      </c>
    </row>
    <row r="17" ht="36.75" customHeight="1">
      <c r="A17" s="16" t="s">
        <v>2932</v>
      </c>
      <c r="B17" s="16" t="str">
        <f>IMAGE("https://lmztiles.s3.eu-west-1.amazonaws.com/Modern_Interiors_v41.3.4/1_Interiors/16x16/Theme_Sorter_Singles/15_Christmas_Singles/Christmas_SIngles_17.png")</f>
        <v/>
      </c>
    </row>
    <row r="18" ht="36.75" customHeight="1">
      <c r="A18" s="16" t="s">
        <v>2933</v>
      </c>
      <c r="B18" s="16" t="str">
        <f>IMAGE("https://lmztiles.s3.eu-west-1.amazonaws.com/Modern_Interiors_v41.3.4/1_Interiors/16x16/Theme_Sorter_Singles/15_Christmas_Singles/Christmas_SIngles_18.png")</f>
        <v/>
      </c>
    </row>
    <row r="19" ht="36.75" customHeight="1">
      <c r="A19" s="16" t="s">
        <v>2934</v>
      </c>
      <c r="B19" s="16" t="str">
        <f>IMAGE("https://lmztiles.s3.eu-west-1.amazonaws.com/Modern_Interiors_v41.3.4/1_Interiors/16x16/Theme_Sorter_Singles/15_Christmas_Singles/Christmas_SIngles_19.png")</f>
        <v/>
      </c>
    </row>
    <row r="20" ht="36.75" customHeight="1">
      <c r="A20" s="16" t="s">
        <v>2935</v>
      </c>
      <c r="B20" s="16" t="str">
        <f>IMAGE("https://lmztiles.s3.eu-west-1.amazonaws.com/Modern_Interiors_v41.3.4/1_Interiors/16x16/Theme_Sorter_Singles/15_Christmas_Singles/Christmas_SIngles_20.png")</f>
        <v/>
      </c>
    </row>
    <row r="21" ht="36.75" customHeight="1">
      <c r="A21" s="16" t="s">
        <v>2936</v>
      </c>
      <c r="B21" s="16" t="str">
        <f>IMAGE("https://lmztiles.s3.eu-west-1.amazonaws.com/Modern_Interiors_v41.3.4/1_Interiors/16x16/Theme_Sorter_Singles/15_Christmas_Singles/Christmas_SIngles_21.png")</f>
        <v/>
      </c>
    </row>
    <row r="22" ht="36.75" customHeight="1">
      <c r="A22" s="16" t="s">
        <v>2937</v>
      </c>
      <c r="B22" s="16" t="str">
        <f>IMAGE("https://lmztiles.s3.eu-west-1.amazonaws.com/Modern_Interiors_v41.3.4/1_Interiors/16x16/Theme_Sorter_Singles/15_Christmas_Singles/Christmas_SIngles_22.png")</f>
        <v/>
      </c>
    </row>
    <row r="23" ht="36.75" customHeight="1">
      <c r="A23" s="16" t="s">
        <v>2938</v>
      </c>
      <c r="B23" s="16" t="str">
        <f>IMAGE("https://lmztiles.s3.eu-west-1.amazonaws.com/Modern_Interiors_v41.3.4/1_Interiors/16x16/Theme_Sorter_Singles/15_Christmas_Singles/Christmas_SIngles_23.png")</f>
        <v/>
      </c>
    </row>
    <row r="24" ht="36.75" customHeight="1">
      <c r="A24" s="16" t="s">
        <v>2939</v>
      </c>
      <c r="B24" s="16" t="str">
        <f>IMAGE("https://lmztiles.s3.eu-west-1.amazonaws.com/Modern_Interiors_v41.3.4/1_Interiors/16x16/Theme_Sorter_Singles/15_Christmas_Singles/Christmas_SIngles_24.png")</f>
        <v/>
      </c>
    </row>
    <row r="25" ht="36.75" customHeight="1">
      <c r="A25" s="16" t="s">
        <v>2940</v>
      </c>
      <c r="B25" s="16" t="str">
        <f>IMAGE("https://lmztiles.s3.eu-west-1.amazonaws.com/Modern_Interiors_v41.3.4/1_Interiors/16x16/Theme_Sorter_Singles/15_Christmas_Singles/Christmas_SIngles_25.png")</f>
        <v/>
      </c>
    </row>
    <row r="26" ht="36.75" customHeight="1">
      <c r="A26" s="16" t="s">
        <v>2941</v>
      </c>
      <c r="B26" s="16" t="str">
        <f>IMAGE("https://lmztiles.s3.eu-west-1.amazonaws.com/Modern_Interiors_v41.3.4/1_Interiors/16x16/Theme_Sorter_Singles/15_Christmas_Singles/Christmas_SIngles_26.png")</f>
        <v/>
      </c>
    </row>
    <row r="27" ht="36.75" customHeight="1">
      <c r="A27" s="16" t="s">
        <v>2942</v>
      </c>
      <c r="B27" s="16" t="str">
        <f>IMAGE("https://lmztiles.s3.eu-west-1.amazonaws.com/Modern_Interiors_v41.3.4/1_Interiors/16x16/Theme_Sorter_Singles/15_Christmas_Singles/Christmas_SIngles_27.png")</f>
        <v/>
      </c>
    </row>
    <row r="28" ht="36.75" customHeight="1">
      <c r="A28" s="16" t="s">
        <v>2943</v>
      </c>
      <c r="B28" s="16" t="str">
        <f>IMAGE("https://lmztiles.s3.eu-west-1.amazonaws.com/Modern_Interiors_v41.3.4/1_Interiors/16x16/Theme_Sorter_Singles/15_Christmas_Singles/Christmas_SIngles_28.png")</f>
        <v/>
      </c>
    </row>
    <row r="29" ht="36.75" customHeight="1">
      <c r="A29" s="16" t="s">
        <v>2944</v>
      </c>
      <c r="B29" s="16" t="str">
        <f>IMAGE("https://lmztiles.s3.eu-west-1.amazonaws.com/Modern_Interiors_v41.3.4/1_Interiors/16x16/Theme_Sorter_Singles/15_Christmas_Singles/Christmas_SIngles_29.png")</f>
        <v/>
      </c>
    </row>
    <row r="30" ht="36.75" customHeight="1">
      <c r="A30" s="16" t="s">
        <v>2945</v>
      </c>
      <c r="B30" s="16" t="str">
        <f>IMAGE("https://lmztiles.s3.eu-west-1.amazonaws.com/Modern_Interiors_v41.3.4/1_Interiors/16x16/Theme_Sorter_Singles/15_Christmas_Singles/Christmas_SIngles_30.png")</f>
        <v/>
      </c>
    </row>
    <row r="31" ht="36.75" customHeight="1">
      <c r="A31" s="16" t="s">
        <v>2946</v>
      </c>
      <c r="B31" s="16" t="str">
        <f>IMAGE("https://lmztiles.s3.eu-west-1.amazonaws.com/Modern_Interiors_v41.3.4/1_Interiors/16x16/Theme_Sorter_Singles/15_Christmas_Singles/Christmas_SIngles_31.png")</f>
        <v/>
      </c>
    </row>
    <row r="32" ht="36.75" customHeight="1">
      <c r="A32" s="16" t="s">
        <v>2947</v>
      </c>
      <c r="B32" s="16" t="str">
        <f>IMAGE("https://lmztiles.s3.eu-west-1.amazonaws.com/Modern_Interiors_v41.3.4/1_Interiors/16x16/Theme_Sorter_Singles/15_Christmas_Singles/Christmas_SIngles_32.png")</f>
        <v/>
      </c>
    </row>
    <row r="33" ht="36.75" customHeight="1">
      <c r="A33" s="16" t="s">
        <v>2948</v>
      </c>
      <c r="B33" s="16" t="str">
        <f>IMAGE("https://lmztiles.s3.eu-west-1.amazonaws.com/Modern_Interiors_v41.3.4/1_Interiors/16x16/Theme_Sorter_Singles/15_Christmas_Singles/Christmas_SIngles_33.png")</f>
        <v/>
      </c>
    </row>
    <row r="34" ht="36.75" customHeight="1">
      <c r="A34" s="16" t="s">
        <v>2949</v>
      </c>
      <c r="B34" s="16" t="str">
        <f>IMAGE("https://lmztiles.s3.eu-west-1.amazonaws.com/Modern_Interiors_v41.3.4/1_Interiors/16x16/Theme_Sorter_Singles/15_Christmas_Singles/Christmas_SIngles_34.png")</f>
        <v/>
      </c>
    </row>
    <row r="35" ht="36.75" customHeight="1">
      <c r="A35" s="16" t="s">
        <v>2950</v>
      </c>
      <c r="B35" s="16" t="str">
        <f>IMAGE("https://lmztiles.s3.eu-west-1.amazonaws.com/Modern_Interiors_v41.3.4/1_Interiors/16x16/Theme_Sorter_Singles/15_Christmas_Singles/Christmas_SIngles_35.png")</f>
        <v/>
      </c>
    </row>
    <row r="36" ht="36.75" customHeight="1">
      <c r="A36" s="16" t="s">
        <v>2951</v>
      </c>
      <c r="B36" s="16" t="str">
        <f>IMAGE("https://lmztiles.s3.eu-west-1.amazonaws.com/Modern_Interiors_v41.3.4/1_Interiors/16x16/Theme_Sorter_Singles/15_Christmas_Singles/Christmas_SIngles_36.png")</f>
        <v/>
      </c>
    </row>
    <row r="37" ht="36.75" customHeight="1">
      <c r="A37" s="16" t="s">
        <v>2952</v>
      </c>
      <c r="B37" s="16" t="str">
        <f>IMAGE("https://lmztiles.s3.eu-west-1.amazonaws.com/Modern_Interiors_v41.3.4/1_Interiors/16x16/Theme_Sorter_Singles/15_Christmas_Singles/Christmas_SIngles_37.png")</f>
        <v/>
      </c>
    </row>
    <row r="38" ht="36.75" customHeight="1">
      <c r="A38" s="16" t="s">
        <v>2953</v>
      </c>
      <c r="B38" s="16" t="str">
        <f>IMAGE("https://lmztiles.s3.eu-west-1.amazonaws.com/Modern_Interiors_v41.3.4/1_Interiors/16x16/Theme_Sorter_Singles/15_Christmas_Singles/Christmas_SIngles_38.png")</f>
        <v/>
      </c>
    </row>
    <row r="39" ht="36.75" customHeight="1">
      <c r="A39" s="16" t="s">
        <v>2954</v>
      </c>
      <c r="B39" s="16" t="str">
        <f>IMAGE("https://lmztiles.s3.eu-west-1.amazonaws.com/Modern_Interiors_v41.3.4/1_Interiors/16x16/Theme_Sorter_Singles/15_Christmas_Singles/Christmas_SIngles_39.png")</f>
        <v/>
      </c>
    </row>
    <row r="40" ht="36.75" customHeight="1">
      <c r="A40" s="16" t="s">
        <v>2955</v>
      </c>
      <c r="B40" s="16" t="str">
        <f>IMAGE("https://lmztiles.s3.eu-west-1.amazonaws.com/Modern_Interiors_v41.3.4/1_Interiors/16x16/Theme_Sorter_Singles/15_Christmas_Singles/Christmas_SIngles_40.png")</f>
        <v/>
      </c>
    </row>
    <row r="41" ht="36.75" customHeight="1">
      <c r="A41" s="16" t="s">
        <v>2956</v>
      </c>
      <c r="B41" s="16" t="str">
        <f>IMAGE("https://lmztiles.s3.eu-west-1.amazonaws.com/Modern_Interiors_v41.3.4/1_Interiors/16x16/Theme_Sorter_Singles/15_Christmas_Singles/Christmas_SIngles_41.png")</f>
        <v/>
      </c>
    </row>
    <row r="42" ht="36.75" customHeight="1">
      <c r="A42" s="16" t="s">
        <v>2957</v>
      </c>
      <c r="B42" s="16" t="str">
        <f>IMAGE("https://lmztiles.s3.eu-west-1.amazonaws.com/Modern_Interiors_v41.3.4/1_Interiors/16x16/Theme_Sorter_Singles/15_Christmas_Singles/Christmas_SIngles_42.png")</f>
        <v/>
      </c>
    </row>
    <row r="43" ht="36.75" customHeight="1">
      <c r="A43" s="16" t="s">
        <v>2958</v>
      </c>
      <c r="B43" s="16" t="str">
        <f>IMAGE("https://lmztiles.s3.eu-west-1.amazonaws.com/Modern_Interiors_v41.3.4/1_Interiors/16x16/Theme_Sorter_Singles/15_Christmas_Singles/Christmas_SIngles_43.png")</f>
        <v/>
      </c>
    </row>
    <row r="44" ht="36.75" customHeight="1">
      <c r="A44" s="16" t="s">
        <v>2959</v>
      </c>
      <c r="B44" s="16" t="str">
        <f>IMAGE("https://lmztiles.s3.eu-west-1.amazonaws.com/Modern_Interiors_v41.3.4/1_Interiors/16x16/Theme_Sorter_Singles/15_Christmas_Singles/Christmas_SIngles_44.png")</f>
        <v/>
      </c>
    </row>
    <row r="45" ht="36.75" customHeight="1">
      <c r="A45" s="16" t="s">
        <v>2960</v>
      </c>
      <c r="B45" s="16" t="str">
        <f>IMAGE("https://lmztiles.s3.eu-west-1.amazonaws.com/Modern_Interiors_v41.3.4/1_Interiors/16x16/Theme_Sorter_Singles/15_Christmas_Singles/Christmas_SIngles_45.png")</f>
        <v/>
      </c>
    </row>
    <row r="46" ht="36.75" customHeight="1">
      <c r="A46" s="16" t="s">
        <v>2961</v>
      </c>
      <c r="B46" s="16" t="str">
        <f>IMAGE("https://lmztiles.s3.eu-west-1.amazonaws.com/Modern_Interiors_v41.3.4/1_Interiors/16x16/Theme_Sorter_Singles/15_Christmas_Singles/Christmas_SIngles_46.png")</f>
        <v/>
      </c>
    </row>
    <row r="47" ht="36.75" customHeight="1">
      <c r="A47" s="16" t="s">
        <v>2962</v>
      </c>
      <c r="B47" s="16" t="str">
        <f>IMAGE("https://lmztiles.s3.eu-west-1.amazonaws.com/Modern_Interiors_v41.3.4/1_Interiors/16x16/Theme_Sorter_Singles/15_Christmas_Singles/Christmas_SIngles_47.png")</f>
        <v/>
      </c>
    </row>
    <row r="48" ht="36.75" customHeight="1">
      <c r="A48" s="16" t="s">
        <v>2963</v>
      </c>
      <c r="B48" s="16" t="str">
        <f>IMAGE("https://lmztiles.s3.eu-west-1.amazonaws.com/Modern_Interiors_v41.3.4/1_Interiors/16x16/Theme_Sorter_Singles/15_Christmas_Singles/Christmas_SIngles_48.png")</f>
        <v/>
      </c>
    </row>
    <row r="49" ht="36.75" customHeight="1">
      <c r="A49" s="16" t="s">
        <v>2964</v>
      </c>
      <c r="B49" s="16" t="str">
        <f>IMAGE("https://lmztiles.s3.eu-west-1.amazonaws.com/Modern_Interiors_v41.3.4/1_Interiors/16x16/Theme_Sorter_Singles/15_Christmas_Singles/Christmas_SIngles_49.png")</f>
        <v/>
      </c>
    </row>
    <row r="50" ht="36.75" customHeight="1">
      <c r="A50" s="16" t="s">
        <v>2965</v>
      </c>
      <c r="B50" s="16" t="str">
        <f>IMAGE("https://lmztiles.s3.eu-west-1.amazonaws.com/Modern_Interiors_v41.3.4/1_Interiors/16x16/Theme_Sorter_Singles/15_Christmas_Singles/Christmas_SIngles_50.png")</f>
        <v/>
      </c>
    </row>
    <row r="51" ht="36.75" customHeight="1">
      <c r="A51" s="16" t="s">
        <v>2966</v>
      </c>
      <c r="B51" s="16" t="str">
        <f>IMAGE("https://lmztiles.s3.eu-west-1.amazonaws.com/Modern_Interiors_v41.3.4/1_Interiors/16x16/Theme_Sorter_Singles/15_Christmas_Singles/Christmas_SIngles_51.png")</f>
        <v/>
      </c>
    </row>
    <row r="52" ht="36.75" customHeight="1">
      <c r="A52" s="16" t="s">
        <v>2967</v>
      </c>
      <c r="B52" s="16" t="str">
        <f>IMAGE("https://lmztiles.s3.eu-west-1.amazonaws.com/Modern_Interiors_v41.3.4/1_Interiors/16x16/Theme_Sorter_Singles/15_Christmas_Singles/Christmas_SIngles_52.png")</f>
        <v/>
      </c>
    </row>
    <row r="53" ht="36.75" customHeight="1">
      <c r="A53" s="16" t="s">
        <v>2968</v>
      </c>
      <c r="B53" s="16" t="str">
        <f>IMAGE("https://lmztiles.s3.eu-west-1.amazonaws.com/Modern_Interiors_v41.3.4/1_Interiors/16x16/Theme_Sorter_Singles/15_Christmas_Singles/Christmas_SIngles_53.png")</f>
        <v/>
      </c>
    </row>
    <row r="54" ht="36.75" customHeight="1">
      <c r="A54" s="16" t="s">
        <v>2969</v>
      </c>
      <c r="B54" s="16" t="str">
        <f>IMAGE("https://lmztiles.s3.eu-west-1.amazonaws.com/Modern_Interiors_v41.3.4/1_Interiors/16x16/Theme_Sorter_Singles/15_Christmas_Singles/Christmas_SIngles_54.png")</f>
        <v/>
      </c>
    </row>
    <row r="55" ht="36.75" customHeight="1">
      <c r="A55" s="16" t="s">
        <v>2970</v>
      </c>
      <c r="B55" s="16" t="str">
        <f>IMAGE("https://lmztiles.s3.eu-west-1.amazonaws.com/Modern_Interiors_v41.3.4/1_Interiors/16x16/Theme_Sorter_Singles/15_Christmas_Singles/Christmas_SIngles_55.png")</f>
        <v/>
      </c>
    </row>
    <row r="56" ht="36.75" customHeight="1">
      <c r="A56" s="16" t="s">
        <v>2971</v>
      </c>
      <c r="B56" s="16" t="str">
        <f>IMAGE("https://lmztiles.s3.eu-west-1.amazonaws.com/Modern_Interiors_v41.3.4/1_Interiors/16x16/Theme_Sorter_Singles/15_Christmas_Singles/Christmas_SIngles_56.png")</f>
        <v/>
      </c>
    </row>
    <row r="57" ht="36.75" customHeight="1">
      <c r="A57" s="16" t="s">
        <v>2972</v>
      </c>
      <c r="B57" s="16" t="str">
        <f>IMAGE("https://lmztiles.s3.eu-west-1.amazonaws.com/Modern_Interiors_v41.3.4/1_Interiors/16x16/Theme_Sorter_Singles/15_Christmas_Singles/Christmas_SIngles_57.png")</f>
        <v/>
      </c>
    </row>
    <row r="58" ht="36.75" customHeight="1">
      <c r="A58" s="16" t="s">
        <v>2973</v>
      </c>
      <c r="B58" s="16" t="str">
        <f>IMAGE("https://lmztiles.s3.eu-west-1.amazonaws.com/Modern_Interiors_v41.3.4/1_Interiors/16x16/Theme_Sorter_Singles/15_Christmas_Singles/Christmas_SIngles_58.png")</f>
        <v/>
      </c>
    </row>
    <row r="59" ht="36.75" customHeight="1">
      <c r="A59" s="16" t="s">
        <v>2974</v>
      </c>
      <c r="B59" s="16" t="str">
        <f>IMAGE("https://lmztiles.s3.eu-west-1.amazonaws.com/Modern_Interiors_v41.3.4/1_Interiors/16x16/Theme_Sorter_Singles/15_Christmas_Singles/Christmas_SIngles_59.png")</f>
        <v/>
      </c>
    </row>
    <row r="60" ht="36.75" customHeight="1">
      <c r="A60" s="16" t="s">
        <v>2975</v>
      </c>
      <c r="B60" s="16" t="str">
        <f>IMAGE("https://lmztiles.s3.eu-west-1.amazonaws.com/Modern_Interiors_v41.3.4/1_Interiors/16x16/Theme_Sorter_Singles/15_Christmas_Singles/Christmas_SIngles_60.png")</f>
        <v/>
      </c>
    </row>
    <row r="61" ht="36.75" customHeight="1">
      <c r="A61" s="16" t="s">
        <v>2976</v>
      </c>
      <c r="B61" s="16" t="str">
        <f>IMAGE("https://lmztiles.s3.eu-west-1.amazonaws.com/Modern_Interiors_v41.3.4/1_Interiors/16x16/Theme_Sorter_Singles/15_Christmas_Singles/Christmas_SIngles_61.png")</f>
        <v/>
      </c>
    </row>
    <row r="62" ht="36.75" customHeight="1">
      <c r="A62" s="16" t="s">
        <v>2977</v>
      </c>
      <c r="B62" s="16" t="str">
        <f>IMAGE("https://lmztiles.s3.eu-west-1.amazonaws.com/Modern_Interiors_v41.3.4/1_Interiors/16x16/Theme_Sorter_Singles/15_Christmas_Singles/Christmas_SIngles_62.png")</f>
        <v/>
      </c>
    </row>
    <row r="63" ht="36.75" customHeight="1">
      <c r="A63" s="16" t="s">
        <v>2978</v>
      </c>
      <c r="B63" s="16" t="str">
        <f>IMAGE("https://lmztiles.s3.eu-west-1.amazonaws.com/Modern_Interiors_v41.3.4/1_Interiors/16x16/Theme_Sorter_Singles/15_Christmas_Singles/Christmas_SIngles_63.png")</f>
        <v/>
      </c>
    </row>
    <row r="64" ht="36.75" customHeight="1">
      <c r="A64" s="16" t="s">
        <v>2979</v>
      </c>
      <c r="B64" s="16" t="str">
        <f>IMAGE("https://lmztiles.s3.eu-west-1.amazonaws.com/Modern_Interiors_v41.3.4/1_Interiors/16x16/Theme_Sorter_Singles/15_Christmas_Singles/Christmas_SIngles_64.png")</f>
        <v/>
      </c>
    </row>
    <row r="65" ht="36.75" customHeight="1">
      <c r="A65" s="16" t="s">
        <v>2980</v>
      </c>
      <c r="B65" s="16" t="str">
        <f>IMAGE("https://lmztiles.s3.eu-west-1.amazonaws.com/Modern_Interiors_v41.3.4/1_Interiors/16x16/Theme_Sorter_Singles/15_Christmas_Singles/Christmas_SIngles_65.png")</f>
        <v/>
      </c>
    </row>
    <row r="66" ht="36.75" customHeight="1">
      <c r="A66" s="16" t="s">
        <v>2981</v>
      </c>
      <c r="B66" s="16" t="str">
        <f>IMAGE("https://lmztiles.s3.eu-west-1.amazonaws.com/Modern_Interiors_v41.3.4/1_Interiors/16x16/Theme_Sorter_Singles/15_Christmas_Singles/Christmas_SIngles_66.png")</f>
        <v/>
      </c>
    </row>
    <row r="67" ht="36.75" customHeight="1">
      <c r="A67" s="16" t="s">
        <v>2982</v>
      </c>
      <c r="B67" s="16" t="str">
        <f>IMAGE("https://lmztiles.s3.eu-west-1.amazonaws.com/Modern_Interiors_v41.3.4/1_Interiors/16x16/Theme_Sorter_Singles/15_Christmas_Singles/Christmas_SIngles_67.png")</f>
        <v/>
      </c>
    </row>
    <row r="68" ht="36.75" customHeight="1">
      <c r="A68" s="16" t="s">
        <v>2983</v>
      </c>
      <c r="B68" s="16" t="str">
        <f>IMAGE("https://lmztiles.s3.eu-west-1.amazonaws.com/Modern_Interiors_v41.3.4/1_Interiors/16x16/Theme_Sorter_Singles/15_Christmas_Singles/Christmas_SIngles_68.png")</f>
        <v/>
      </c>
    </row>
    <row r="69" ht="36.75" customHeight="1">
      <c r="A69" s="16" t="s">
        <v>2984</v>
      </c>
      <c r="B69" s="16" t="str">
        <f>IMAGE("https://lmztiles.s3.eu-west-1.amazonaws.com/Modern_Interiors_v41.3.4/1_Interiors/16x16/Theme_Sorter_Singles/15_Christmas_Singles/Christmas_SIngles_69.png")</f>
        <v/>
      </c>
    </row>
    <row r="70" ht="36.75" customHeight="1">
      <c r="A70" s="16" t="s">
        <v>2985</v>
      </c>
      <c r="B70" s="16" t="str">
        <f>IMAGE("https://lmztiles.s3.eu-west-1.amazonaws.com/Modern_Interiors_v41.3.4/1_Interiors/16x16/Theme_Sorter_Singles/15_Christmas_Singles/Christmas_SIngles_70.png")</f>
        <v/>
      </c>
    </row>
    <row r="71" ht="36.75" customHeight="1">
      <c r="A71" s="16" t="s">
        <v>2986</v>
      </c>
      <c r="B71" s="16" t="str">
        <f>IMAGE("https://lmztiles.s3.eu-west-1.amazonaws.com/Modern_Interiors_v41.3.4/1_Interiors/16x16/Theme_Sorter_Singles/15_Christmas_Singles/Christmas_SIngles_71.png")</f>
        <v/>
      </c>
    </row>
    <row r="72" ht="36.75" customHeight="1">
      <c r="A72" s="16" t="s">
        <v>2987</v>
      </c>
      <c r="B72" s="16" t="str">
        <f>IMAGE("https://lmztiles.s3.eu-west-1.amazonaws.com/Modern_Interiors_v41.3.4/1_Interiors/16x16/Theme_Sorter_Singles/15_Christmas_Singles/Christmas_SIngles_72.png")</f>
        <v/>
      </c>
    </row>
    <row r="73" ht="36.75" customHeight="1">
      <c r="A73" s="16" t="s">
        <v>2988</v>
      </c>
      <c r="B73" s="16" t="str">
        <f>IMAGE("https://lmztiles.s3.eu-west-1.amazonaws.com/Modern_Interiors_v41.3.4/1_Interiors/16x16/Theme_Sorter_Singles/15_Christmas_Singles/Christmas_SIngles_73.png")</f>
        <v/>
      </c>
    </row>
    <row r="74" ht="36.75" customHeight="1">
      <c r="A74" s="16" t="s">
        <v>2989</v>
      </c>
      <c r="B74" s="16" t="str">
        <f>IMAGE("https://lmztiles.s3.eu-west-1.amazonaws.com/Modern_Interiors_v41.3.4/1_Interiors/16x16/Theme_Sorter_Singles/15_Christmas_Singles/Christmas_SIngles_74.png")</f>
        <v/>
      </c>
    </row>
    <row r="75" ht="36.75" customHeight="1">
      <c r="A75" s="16" t="s">
        <v>2990</v>
      </c>
      <c r="B75" s="16" t="str">
        <f>IMAGE("https://lmztiles.s3.eu-west-1.amazonaws.com/Modern_Interiors_v41.3.4/1_Interiors/16x16/Theme_Sorter_Singles/15_Christmas_Singles/Christmas_SIngles_75.png")</f>
        <v/>
      </c>
    </row>
    <row r="76" ht="36.75" customHeight="1">
      <c r="A76" s="16" t="s">
        <v>2991</v>
      </c>
      <c r="B76" s="16" t="str">
        <f>IMAGE("https://lmztiles.s3.eu-west-1.amazonaws.com/Modern_Interiors_v41.3.4/1_Interiors/16x16/Theme_Sorter_Singles/15_Christmas_Singles/Christmas_SIngles_76.png")</f>
        <v/>
      </c>
    </row>
    <row r="77" ht="36.75" customHeight="1">
      <c r="A77" s="16" t="s">
        <v>2992</v>
      </c>
      <c r="B77" s="16" t="str">
        <f>IMAGE("https://lmztiles.s3.eu-west-1.amazonaws.com/Modern_Interiors_v41.3.4/1_Interiors/16x16/Theme_Sorter_Singles/15_Christmas_Singles/Christmas_SIngles_77.png")</f>
        <v/>
      </c>
    </row>
    <row r="78" ht="36.75" customHeight="1">
      <c r="A78" s="16" t="s">
        <v>2993</v>
      </c>
      <c r="B78" s="16" t="str">
        <f>IMAGE("https://lmztiles.s3.eu-west-1.amazonaws.com/Modern_Interiors_v41.3.4/1_Interiors/16x16/Theme_Sorter_Singles/15_Christmas_Singles/Christmas_SIngles_78.png")</f>
        <v/>
      </c>
    </row>
    <row r="79" ht="36.75" customHeight="1">
      <c r="A79" s="16" t="s">
        <v>2994</v>
      </c>
      <c r="B79" s="16" t="str">
        <f>IMAGE("https://lmztiles.s3.eu-west-1.amazonaws.com/Modern_Interiors_v41.3.4/1_Interiors/16x16/Theme_Sorter_Singles/15_Christmas_Singles/Christmas_SIngles_79.png")</f>
        <v/>
      </c>
    </row>
    <row r="80" ht="36.75" customHeight="1">
      <c r="A80" s="16" t="s">
        <v>2995</v>
      </c>
      <c r="B80" s="16" t="str">
        <f>IMAGE("https://lmztiles.s3.eu-west-1.amazonaws.com/Modern_Interiors_v41.3.4/1_Interiors/16x16/Theme_Sorter_Singles/15_Christmas_Singles/Christmas_SIngles_80.png")</f>
        <v/>
      </c>
    </row>
    <row r="81" ht="36.75" customHeight="1">
      <c r="A81" s="16" t="s">
        <v>2996</v>
      </c>
      <c r="B81" s="16" t="str">
        <f>IMAGE("https://lmztiles.s3.eu-west-1.amazonaws.com/Modern_Interiors_v41.3.4/1_Interiors/16x16/Theme_Sorter_Singles/15_Christmas_Singles/Christmas_SIngles_81.png")</f>
        <v/>
      </c>
    </row>
    <row r="82" ht="36.75" customHeight="1">
      <c r="A82" s="16" t="s">
        <v>2997</v>
      </c>
      <c r="B82" s="16" t="str">
        <f>IMAGE("https://lmztiles.s3.eu-west-1.amazonaws.com/Modern_Interiors_v41.3.4/1_Interiors/16x16/Theme_Sorter_Singles/15_Christmas_Singles/Christmas_SIngles_82.png")</f>
        <v/>
      </c>
    </row>
    <row r="83" ht="36.75" customHeight="1">
      <c r="A83" s="16" t="s">
        <v>2998</v>
      </c>
      <c r="B83" s="16" t="str">
        <f>IMAGE("https://lmztiles.s3.eu-west-1.amazonaws.com/Modern_Interiors_v41.3.4/1_Interiors/16x16/Theme_Sorter_Singles/15_Christmas_Singles/Christmas_SIngles_83.png")</f>
        <v/>
      </c>
    </row>
    <row r="84" ht="36.75" customHeight="1">
      <c r="A84" s="16" t="s">
        <v>2999</v>
      </c>
      <c r="B84" s="16" t="str">
        <f>IMAGE("https://lmztiles.s3.eu-west-1.amazonaws.com/Modern_Interiors_v41.3.4/1_Interiors/16x16/Theme_Sorter_Singles/15_Christmas_Singles/Christmas_SIngles_84.png")</f>
        <v/>
      </c>
    </row>
    <row r="85" ht="36.75" customHeight="1">
      <c r="A85" s="16" t="s">
        <v>3000</v>
      </c>
      <c r="B85" s="16" t="str">
        <f>IMAGE("https://lmztiles.s3.eu-west-1.amazonaws.com/Modern_Interiors_v41.3.4/1_Interiors/16x16/Theme_Sorter_Singles/15_Christmas_Singles/Christmas_SIngles_85.png")</f>
        <v/>
      </c>
    </row>
    <row r="86" ht="36.75" customHeight="1">
      <c r="A86" s="16" t="s">
        <v>3001</v>
      </c>
      <c r="B86" s="16" t="str">
        <f>IMAGE("https://lmztiles.s3.eu-west-1.amazonaws.com/Modern_Interiors_v41.3.4/1_Interiors/16x16/Theme_Sorter_Singles/15_Christmas_Singles/Christmas_SIngles_86.png")</f>
        <v/>
      </c>
    </row>
    <row r="87" ht="36.75" customHeight="1">
      <c r="A87" s="16" t="s">
        <v>3002</v>
      </c>
      <c r="B87" s="16" t="str">
        <f>IMAGE("https://lmztiles.s3.eu-west-1.amazonaws.com/Modern_Interiors_v41.3.4/1_Interiors/16x16/Theme_Sorter_Singles/15_Christmas_Singles/Christmas_SIngles_87.png")</f>
        <v/>
      </c>
    </row>
    <row r="88" ht="36.75" customHeight="1">
      <c r="A88" s="16" t="s">
        <v>3003</v>
      </c>
      <c r="B88" s="16" t="str">
        <f>IMAGE("https://lmztiles.s3.eu-west-1.amazonaws.com/Modern_Interiors_v41.3.4/1_Interiors/16x16/Theme_Sorter_Singles/15_Christmas_Singles/Christmas_SIngles_88.png")</f>
        <v/>
      </c>
    </row>
    <row r="89" ht="36.75" customHeight="1">
      <c r="A89" s="16" t="s">
        <v>3004</v>
      </c>
      <c r="B89" s="16" t="str">
        <f>IMAGE("https://lmztiles.s3.eu-west-1.amazonaws.com/Modern_Interiors_v41.3.4/1_Interiors/16x16/Theme_Sorter_Singles/15_Christmas_Singles/Christmas_SIngles_89.png")</f>
        <v/>
      </c>
    </row>
    <row r="90" ht="36.75" customHeight="1">
      <c r="A90" s="16" t="s">
        <v>3005</v>
      </c>
      <c r="B90" s="16" t="str">
        <f>IMAGE("https://lmztiles.s3.eu-west-1.amazonaws.com/Modern_Interiors_v41.3.4/1_Interiors/16x16/Theme_Sorter_Singles/15_Christmas_Singles/Christmas_SIngles_90.png")</f>
        <v/>
      </c>
    </row>
    <row r="91" ht="36.75" customHeight="1">
      <c r="A91" s="16" t="s">
        <v>3006</v>
      </c>
      <c r="B91" s="16" t="str">
        <f>IMAGE("https://lmztiles.s3.eu-west-1.amazonaws.com/Modern_Interiors_v41.3.4/1_Interiors/16x16/Theme_Sorter_Singles/15_Christmas_Singles/Christmas_SIngles_91.png")</f>
        <v/>
      </c>
    </row>
    <row r="92" ht="36.75" customHeight="1">
      <c r="A92" s="16" t="s">
        <v>3007</v>
      </c>
      <c r="B92" s="16" t="str">
        <f>IMAGE("https://lmztiles.s3.eu-west-1.amazonaws.com/Modern_Interiors_v41.3.4/1_Interiors/16x16/Theme_Sorter_Singles/15_Christmas_Singles/Christmas_SIngles_92.png")</f>
        <v/>
      </c>
    </row>
    <row r="93" ht="36.75" customHeight="1">
      <c r="A93" s="16" t="s">
        <v>3008</v>
      </c>
      <c r="B93" s="16" t="str">
        <f>IMAGE("https://lmztiles.s3.eu-west-1.amazonaws.com/Modern_Interiors_v41.3.4/1_Interiors/16x16/Theme_Sorter_Singles/15_Christmas_Singles/Christmas_SIngles_93.png")</f>
        <v/>
      </c>
    </row>
    <row r="94" ht="36.75" customHeight="1">
      <c r="A94" s="16" t="s">
        <v>3009</v>
      </c>
      <c r="B94" s="16" t="str">
        <f>IMAGE("https://lmztiles.s3.eu-west-1.amazonaws.com/Modern_Interiors_v41.3.4/1_Interiors/16x16/Theme_Sorter_Singles/15_Christmas_Singles/Christmas_SIngles_94.png")</f>
        <v/>
      </c>
    </row>
    <row r="95" ht="36.75" customHeight="1">
      <c r="A95" s="16" t="s">
        <v>3010</v>
      </c>
      <c r="B95" s="16" t="str">
        <f>IMAGE("https://lmztiles.s3.eu-west-1.amazonaws.com/Modern_Interiors_v41.3.4/1_Interiors/16x16/Theme_Sorter_Singles/15_Christmas_Singles/Christmas_SIngles_95.png")</f>
        <v/>
      </c>
    </row>
    <row r="96" ht="36.75" customHeight="1">
      <c r="A96" s="16" t="s">
        <v>3011</v>
      </c>
      <c r="B96" s="16" t="str">
        <f>IMAGE("https://lmztiles.s3.eu-west-1.amazonaws.com/Modern_Interiors_v41.3.4/1_Interiors/16x16/Theme_Sorter_Singles/15_Christmas_Singles/Christmas_SIngles_96.png")</f>
        <v/>
      </c>
    </row>
    <row r="97" ht="36.75" customHeight="1">
      <c r="A97" s="16" t="s">
        <v>3012</v>
      </c>
      <c r="B97" s="16" t="str">
        <f>IMAGE("https://lmztiles.s3.eu-west-1.amazonaws.com/Modern_Interiors_v41.3.4/1_Interiors/16x16/Theme_Sorter_Singles/15_Christmas_Singles/Christmas_SIngles_97.png")</f>
        <v/>
      </c>
    </row>
    <row r="98" ht="36.75" customHeight="1">
      <c r="A98" s="16" t="s">
        <v>3013</v>
      </c>
      <c r="B98" s="16" t="str">
        <f>IMAGE("https://lmztiles.s3.eu-west-1.amazonaws.com/Modern_Interiors_v41.3.4/1_Interiors/16x16/Theme_Sorter_Singles/15_Christmas_Singles/Christmas_SIngles_98.png")</f>
        <v/>
      </c>
    </row>
    <row r="99" ht="36.75" customHeight="1">
      <c r="A99" s="16" t="s">
        <v>3014</v>
      </c>
      <c r="B99" s="16" t="str">
        <f>IMAGE("https://lmztiles.s3.eu-west-1.amazonaws.com/Modern_Interiors_v41.3.4/1_Interiors/16x16/Theme_Sorter_Singles/15_Christmas_Singles/Christmas_SIngles_99.png")</f>
        <v/>
      </c>
    </row>
    <row r="100" ht="36.75" customHeight="1">
      <c r="A100" s="16" t="s">
        <v>3015</v>
      </c>
      <c r="B100" s="16" t="str">
        <f>IMAGE("https://lmztiles.s3.eu-west-1.amazonaws.com/Modern_Interiors_v41.3.4/1_Interiors/16x16/Theme_Sorter_Singles/15_Christmas_Singles/Christmas_SIngles_100.png")</f>
        <v/>
      </c>
    </row>
    <row r="101" ht="36.75" customHeight="1">
      <c r="A101" s="16" t="s">
        <v>3016</v>
      </c>
      <c r="B101" s="16" t="str">
        <f>IMAGE("https://lmztiles.s3.eu-west-1.amazonaws.com/Modern_Interiors_v41.3.4/1_Interiors/16x16/Theme_Sorter_Singles/15_Christmas_Singles/Christmas_SIngles_101.png")</f>
        <v/>
      </c>
    </row>
    <row r="102" ht="36.75" customHeight="1">
      <c r="A102" s="16" t="s">
        <v>3017</v>
      </c>
      <c r="B102" s="16" t="str">
        <f>IMAGE("https://lmztiles.s3.eu-west-1.amazonaws.com/Modern_Interiors_v41.3.4/1_Interiors/16x16/Theme_Sorter_Singles/15_Christmas_Singles/Christmas_SIngles_102.png")</f>
        <v/>
      </c>
    </row>
    <row r="103" ht="36.75" customHeight="1">
      <c r="A103" s="16" t="s">
        <v>3018</v>
      </c>
      <c r="B103" s="16" t="str">
        <f>IMAGE("https://lmztiles.s3.eu-west-1.amazonaws.com/Modern_Interiors_v41.3.4/1_Interiors/16x16/Theme_Sorter_Singles/15_Christmas_Singles/Christmas_SIngles_103.png")</f>
        <v/>
      </c>
    </row>
    <row r="104" ht="36.75" customHeight="1">
      <c r="A104" s="16" t="s">
        <v>3019</v>
      </c>
      <c r="B104" s="16" t="str">
        <f>IMAGE("https://lmztiles.s3.eu-west-1.amazonaws.com/Modern_Interiors_v41.3.4/1_Interiors/16x16/Theme_Sorter_Singles/15_Christmas_Singles/Christmas_SIngles_104.png")</f>
        <v/>
      </c>
    </row>
    <row r="105" ht="36.75" customHeight="1">
      <c r="A105" s="16" t="s">
        <v>3020</v>
      </c>
      <c r="B105" s="16" t="str">
        <f>IMAGE("https://lmztiles.s3.eu-west-1.amazonaws.com/Modern_Interiors_v41.3.4/1_Interiors/16x16/Theme_Sorter_Singles/15_Christmas_Singles/Christmas_SIngles_105.png")</f>
        <v/>
      </c>
    </row>
    <row r="106" ht="36.75" customHeight="1">
      <c r="A106" s="16" t="s">
        <v>3021</v>
      </c>
      <c r="B106" s="16" t="str">
        <f>IMAGE("https://lmztiles.s3.eu-west-1.amazonaws.com/Modern_Interiors_v41.3.4/1_Interiors/16x16/Theme_Sorter_Singles/15_Christmas_Singles/Christmas_SIngles_106.png")</f>
        <v/>
      </c>
    </row>
    <row r="107" ht="36.75" customHeight="1">
      <c r="A107" s="16" t="s">
        <v>3022</v>
      </c>
      <c r="B107" s="16" t="str">
        <f>IMAGE("https://lmztiles.s3.eu-west-1.amazonaws.com/Modern_Interiors_v41.3.4/1_Interiors/16x16/Theme_Sorter_Singles/15_Christmas_Singles/Christmas_SIngles_107.png")</f>
        <v/>
      </c>
    </row>
    <row r="108" ht="36.75" customHeight="1">
      <c r="A108" s="16" t="s">
        <v>3023</v>
      </c>
      <c r="B108" s="16" t="str">
        <f>IMAGE("https://lmztiles.s3.eu-west-1.amazonaws.com/Modern_Interiors_v41.3.4/1_Interiors/16x16/Theme_Sorter_Singles/15_Christmas_Singles/Christmas_SIngles_108.png")</f>
        <v/>
      </c>
    </row>
    <row r="109" ht="36.75" customHeight="1">
      <c r="A109" s="16" t="s">
        <v>3024</v>
      </c>
      <c r="B109" s="16" t="str">
        <f>IMAGE("https://lmztiles.s3.eu-west-1.amazonaws.com/Modern_Interiors_v41.3.4/1_Interiors/16x16/Theme_Sorter_Singles/15_Christmas_Singles/Christmas_SIngles_109.png")</f>
        <v/>
      </c>
    </row>
    <row r="110" ht="36.75" customHeight="1">
      <c r="A110" s="16" t="s">
        <v>3025</v>
      </c>
      <c r="B110" s="16" t="str">
        <f>IMAGE("https://lmztiles.s3.eu-west-1.amazonaws.com/Modern_Interiors_v41.3.4/1_Interiors/16x16/Theme_Sorter_Singles/15_Christmas_Singles/Christmas_SIngles_110.png")</f>
        <v/>
      </c>
    </row>
    <row r="111" ht="36.75" customHeight="1">
      <c r="A111" s="16" t="s">
        <v>3026</v>
      </c>
      <c r="B111" s="16" t="str">
        <f>IMAGE("https://lmztiles.s3.eu-west-1.amazonaws.com/Modern_Interiors_v41.3.4/1_Interiors/16x16/Theme_Sorter_Singles/15_Christmas_Singles/Christmas_SIngles_111.png")</f>
        <v/>
      </c>
    </row>
    <row r="112" ht="36.75" customHeight="1">
      <c r="A112" s="16" t="s">
        <v>3027</v>
      </c>
      <c r="B112" s="16" t="str">
        <f>IMAGE("https://lmztiles.s3.eu-west-1.amazonaws.com/Modern_Interiors_v41.3.4/1_Interiors/16x16/Theme_Sorter_Singles/15_Christmas_Singles/Christmas_SIngles_112.png")</f>
        <v/>
      </c>
    </row>
    <row r="113" ht="36.75" customHeight="1">
      <c r="A113" s="16" t="s">
        <v>3028</v>
      </c>
      <c r="B113" s="16" t="str">
        <f>IMAGE("https://lmztiles.s3.eu-west-1.amazonaws.com/Modern_Interiors_v41.3.4/1_Interiors/16x16/Theme_Sorter_Singles/15_Christmas_Singles/Christmas_SIngles_113.png")</f>
        <v/>
      </c>
    </row>
    <row r="114" ht="36.75" customHeight="1">
      <c r="A114" s="16" t="s">
        <v>3029</v>
      </c>
      <c r="B114" s="16" t="str">
        <f>IMAGE("https://lmztiles.s3.eu-west-1.amazonaws.com/Modern_Interiors_v41.3.4/1_Interiors/16x16/Theme_Sorter_Singles/15_Christmas_Singles/Christmas_SIngles_114.png")</f>
        <v/>
      </c>
    </row>
    <row r="115" ht="36.75" customHeight="1">
      <c r="A115" s="16" t="s">
        <v>3030</v>
      </c>
      <c r="B115" s="16" t="str">
        <f>IMAGE("https://lmztiles.s3.eu-west-1.amazonaws.com/Modern_Interiors_v41.3.4/1_Interiors/16x16/Theme_Sorter_Singles/15_Christmas_Singles/Christmas_SIngles_115.png")</f>
        <v/>
      </c>
    </row>
    <row r="116" ht="36.75" customHeight="1">
      <c r="A116" s="16" t="s">
        <v>3031</v>
      </c>
      <c r="B116" s="16" t="str">
        <f>IMAGE("https://lmztiles.s3.eu-west-1.amazonaws.com/Modern_Interiors_v41.3.4/1_Interiors/16x16/Theme_Sorter_Singles/15_Christmas_Singles/Christmas_SIngles_116.png")</f>
        <v/>
      </c>
    </row>
    <row r="117" ht="36.75" customHeight="1">
      <c r="A117" s="16" t="s">
        <v>3032</v>
      </c>
      <c r="B117" s="16" t="str">
        <f>IMAGE("https://lmztiles.s3.eu-west-1.amazonaws.com/Modern_Interiors_v41.3.4/1_Interiors/16x16/Theme_Sorter_Singles/15_Christmas_Singles/Christmas_SIngles_117.png")</f>
        <v/>
      </c>
    </row>
    <row r="118" ht="36.75" customHeight="1">
      <c r="A118" s="16" t="s">
        <v>3033</v>
      </c>
      <c r="B118" s="16" t="str">
        <f>IMAGE("https://lmztiles.s3.eu-west-1.amazonaws.com/Modern_Interiors_v41.3.4/1_Interiors/16x16/Theme_Sorter_Singles/15_Christmas_Singles/Christmas_SIngles_118.png")</f>
        <v/>
      </c>
    </row>
    <row r="119" ht="36.75" customHeight="1">
      <c r="A119" s="16" t="s">
        <v>3034</v>
      </c>
      <c r="B119" s="16" t="str">
        <f>IMAGE("https://lmztiles.s3.eu-west-1.amazonaws.com/Modern_Interiors_v41.3.4/1_Interiors/16x16/Theme_Sorter_Singles/15_Christmas_Singles/Christmas_SIngles_119.png")</f>
        <v/>
      </c>
    </row>
    <row r="120" ht="36.75" customHeight="1">
      <c r="A120" s="16" t="s">
        <v>3035</v>
      </c>
      <c r="B120" s="16" t="str">
        <f>IMAGE("https://lmztiles.s3.eu-west-1.amazonaws.com/Modern_Interiors_v41.3.4/1_Interiors/16x16/Theme_Sorter_Singles/15_Christmas_Singles/Christmas_SIngles_120.png")</f>
        <v/>
      </c>
    </row>
    <row r="121" ht="36.75" customHeight="1">
      <c r="A121" s="16" t="s">
        <v>3036</v>
      </c>
      <c r="B121" s="16" t="str">
        <f>IMAGE("https://lmztiles.s3.eu-west-1.amazonaws.com/Modern_Interiors_v41.3.4/1_Interiors/16x16/Theme_Sorter_Singles/15_Christmas_Singles/Christmas_SIngles_121.png")</f>
        <v/>
      </c>
    </row>
    <row r="122" ht="36.75" customHeight="1">
      <c r="A122" s="16" t="s">
        <v>3037</v>
      </c>
      <c r="B122" s="16" t="str">
        <f>IMAGE("https://lmztiles.s3.eu-west-1.amazonaws.com/Modern_Interiors_v41.3.4/1_Interiors/16x16/Theme_Sorter_Singles/15_Christmas_Singles/Christmas_SIngles_122.png")</f>
        <v/>
      </c>
    </row>
    <row r="123" ht="36.75" customHeight="1">
      <c r="A123" s="16" t="s">
        <v>3038</v>
      </c>
      <c r="B123" s="16" t="str">
        <f>IMAGE("https://lmztiles.s3.eu-west-1.amazonaws.com/Modern_Interiors_v41.3.4/1_Interiors/16x16/Theme_Sorter_Singles/15_Christmas_Singles/Christmas_SIngles_123.png")</f>
        <v/>
      </c>
    </row>
    <row r="124" ht="36.75" customHeight="1"/>
    <row r="125" ht="36.75" customHeight="1"/>
    <row r="126" ht="36.75" customHeight="1"/>
    <row r="127" ht="36.75" customHeight="1"/>
    <row r="128" ht="36.75" customHeight="1"/>
    <row r="129" ht="36.75" customHeight="1"/>
    <row r="130" ht="36.75" customHeight="1"/>
    <row r="131" ht="36.75" customHeight="1"/>
    <row r="132" ht="36.75" customHeight="1"/>
    <row r="133" ht="36.75" customHeight="1"/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8.71"/>
    <col customWidth="1" min="3" max="3" width="74.14"/>
  </cols>
  <sheetData>
    <row r="1" ht="36.0" customHeight="1">
      <c r="A1" s="16" t="s">
        <v>3039</v>
      </c>
      <c r="B1" s="16" t="str">
        <f>IMAGE("https://lmztiles.s3.eu-west-1.amazonaws.com/Modern_Interiors_v41.3.4/1_Interiors/16x16/Theme_Sorter_Singles/16_Grocery_Store_Singles/Grocery_Store_Singles_1.png")</f>
        <v/>
      </c>
      <c r="C1" s="8" t="s">
        <v>3040</v>
      </c>
    </row>
    <row r="2" ht="36.0" customHeight="1">
      <c r="A2" s="16" t="s">
        <v>3041</v>
      </c>
      <c r="B2" s="16" t="str">
        <f>IMAGE("https://lmztiles.s3.eu-west-1.amazonaws.com/Modern_Interiors_v41.3.4/1_Interiors/16x16/Theme_Sorter_Singles/16_Grocery_Store_Singles/Grocery_Store_Singles_2.png")</f>
        <v/>
      </c>
      <c r="C2" s="8" t="s">
        <v>3042</v>
      </c>
    </row>
    <row r="3" ht="36.0" customHeight="1">
      <c r="A3" s="16" t="s">
        <v>3043</v>
      </c>
      <c r="B3" s="16" t="str">
        <f>IMAGE("https://lmztiles.s3.eu-west-1.amazonaws.com/Modern_Interiors_v41.3.4/1_Interiors/16x16/Theme_Sorter_Singles/16_Grocery_Store_Singles/Grocery_Store_Singles_3.png")</f>
        <v/>
      </c>
      <c r="C3" s="8" t="s">
        <v>3044</v>
      </c>
    </row>
    <row r="4" ht="36.0" customHeight="1">
      <c r="A4" s="16" t="s">
        <v>3045</v>
      </c>
      <c r="B4" s="16" t="str">
        <f>IMAGE("https://lmztiles.s3.eu-west-1.amazonaws.com/Modern_Interiors_v41.3.4/1_Interiors/16x16/Theme_Sorter_Singles/16_Grocery_Store_Singles/Grocery_Store_Singles_4.png")</f>
        <v/>
      </c>
      <c r="C4" s="8" t="s">
        <v>3046</v>
      </c>
    </row>
    <row r="5" ht="36.0" customHeight="1">
      <c r="A5" s="16" t="s">
        <v>3047</v>
      </c>
      <c r="B5" s="16" t="str">
        <f>IMAGE("https://lmztiles.s3.eu-west-1.amazonaws.com/Modern_Interiors_v41.3.4/1_Interiors/16x16/Theme_Sorter_Singles/16_Grocery_Store_Singles/Grocery_Store_Singles_5.png")</f>
        <v/>
      </c>
      <c r="C5" s="8" t="s">
        <v>3046</v>
      </c>
    </row>
    <row r="6" ht="36.0" customHeight="1">
      <c r="A6" s="16" t="s">
        <v>3048</v>
      </c>
      <c r="B6" s="16" t="str">
        <f>IMAGE("https://lmztiles.s3.eu-west-1.amazonaws.com/Modern_Interiors_v41.3.4/1_Interiors/16x16/Theme_Sorter_Singles/16_Grocery_Store_Singles/Grocery_Store_Singles_6.png")</f>
        <v/>
      </c>
      <c r="C6" s="8" t="s">
        <v>3046</v>
      </c>
    </row>
    <row r="7" ht="36.0" customHeight="1">
      <c r="A7" s="16" t="s">
        <v>3049</v>
      </c>
      <c r="B7" s="16" t="str">
        <f>IMAGE("https://lmztiles.s3.eu-west-1.amazonaws.com/Modern_Interiors_v41.3.4/1_Interiors/16x16/Theme_Sorter_Singles/16_Grocery_Store_Singles/Grocery_Store_Singles_7.png")</f>
        <v/>
      </c>
      <c r="C7" s="8" t="s">
        <v>3044</v>
      </c>
    </row>
    <row r="8" ht="36.0" customHeight="1">
      <c r="A8" s="16" t="s">
        <v>3050</v>
      </c>
      <c r="B8" s="16" t="str">
        <f>IMAGE("https://lmztiles.s3.eu-west-1.amazonaws.com/Modern_Interiors_v41.3.4/1_Interiors/16x16/Theme_Sorter_Singles/16_Grocery_Store_Singles/Grocery_Store_Singles_8.png")</f>
        <v/>
      </c>
      <c r="C8" s="8" t="s">
        <v>3046</v>
      </c>
    </row>
    <row r="9" ht="36.0" customHeight="1">
      <c r="A9" s="16" t="s">
        <v>3051</v>
      </c>
      <c r="B9" s="16" t="str">
        <f>IMAGE("https://lmztiles.s3.eu-west-1.amazonaws.com/Modern_Interiors_v41.3.4/1_Interiors/16x16/Theme_Sorter_Singles/16_Grocery_Store_Singles/Grocery_Store_Singles_9.png")</f>
        <v/>
      </c>
      <c r="C9" s="8" t="s">
        <v>3046</v>
      </c>
    </row>
    <row r="10" ht="36.0" customHeight="1">
      <c r="A10" s="16" t="s">
        <v>3052</v>
      </c>
      <c r="B10" s="16" t="str">
        <f>IMAGE("https://lmztiles.s3.eu-west-1.amazonaws.com/Modern_Interiors_v41.3.4/1_Interiors/16x16/Theme_Sorter_Singles/16_Grocery_Store_Singles/Grocery_Store_Singles_10.png")</f>
        <v/>
      </c>
      <c r="C10" s="8" t="s">
        <v>3046</v>
      </c>
    </row>
    <row r="11" ht="36.0" customHeight="1">
      <c r="A11" s="16" t="s">
        <v>3053</v>
      </c>
      <c r="B11" s="16" t="str">
        <f>IMAGE("https://lmztiles.s3.eu-west-1.amazonaws.com/Modern_Interiors_v41.3.4/1_Interiors/16x16/Theme_Sorter_Singles/16_Grocery_Store_Singles/Grocery_Store_Singles_11.png")</f>
        <v/>
      </c>
      <c r="C11" s="8" t="s">
        <v>3044</v>
      </c>
    </row>
    <row r="12" ht="36.0" customHeight="1">
      <c r="A12" s="16" t="s">
        <v>3054</v>
      </c>
      <c r="B12" s="16" t="str">
        <f>IMAGE("https://lmztiles.s3.eu-west-1.amazonaws.com/Modern_Interiors_v41.3.4/1_Interiors/16x16/Theme_Sorter_Singles/16_Grocery_Store_Singles/Grocery_Store_Singles_12.png")</f>
        <v/>
      </c>
      <c r="C12" s="8" t="s">
        <v>3046</v>
      </c>
    </row>
    <row r="13" ht="36.0" customHeight="1">
      <c r="A13" s="16" t="s">
        <v>3055</v>
      </c>
      <c r="B13" s="16" t="str">
        <f>IMAGE("https://lmztiles.s3.eu-west-1.amazonaws.com/Modern_Interiors_v41.3.4/1_Interiors/16x16/Theme_Sorter_Singles/16_Grocery_Store_Singles/Grocery_Store_Singles_13.png")</f>
        <v/>
      </c>
      <c r="C13" s="8" t="s">
        <v>3046</v>
      </c>
    </row>
    <row r="14" ht="36.0" customHeight="1">
      <c r="A14" s="16" t="s">
        <v>3056</v>
      </c>
      <c r="B14" s="16" t="str">
        <f>IMAGE("https://lmztiles.s3.eu-west-1.amazonaws.com/Modern_Interiors_v41.3.4/1_Interiors/16x16/Theme_Sorter_Singles/16_Grocery_Store_Singles/Grocery_Store_Singles_14.png")</f>
        <v/>
      </c>
      <c r="C14" s="8" t="s">
        <v>3046</v>
      </c>
    </row>
    <row r="15" ht="36.0" customHeight="1">
      <c r="A15" s="16" t="s">
        <v>3057</v>
      </c>
      <c r="B15" s="16" t="str">
        <f>IMAGE("https://lmztiles.s3.eu-west-1.amazonaws.com/Modern_Interiors_v41.3.4/1_Interiors/16x16/Theme_Sorter_Singles/16_Grocery_Store_Singles/Grocery_Store_Singles_15.png")</f>
        <v/>
      </c>
      <c r="C15" s="8" t="s">
        <v>3058</v>
      </c>
    </row>
    <row r="16" ht="36.0" customHeight="1">
      <c r="A16" s="16" t="s">
        <v>3059</v>
      </c>
      <c r="B16" s="16" t="str">
        <f>IMAGE("https://lmztiles.s3.eu-west-1.amazonaws.com/Modern_Interiors_v41.3.4/1_Interiors/16x16/Theme_Sorter_Singles/16_Grocery_Store_Singles/Grocery_Store_Singles_16.png")</f>
        <v/>
      </c>
      <c r="C16" s="8" t="s">
        <v>3060</v>
      </c>
    </row>
    <row r="17" ht="36.0" customHeight="1">
      <c r="A17" s="16" t="s">
        <v>3061</v>
      </c>
      <c r="B17" s="16" t="str">
        <f>IMAGE("https://lmztiles.s3.eu-west-1.amazonaws.com/Modern_Interiors_v41.3.4/1_Interiors/16x16/Theme_Sorter_Singles/16_Grocery_Store_Singles/Grocery_Store_Singles_17.png")</f>
        <v/>
      </c>
      <c r="C17" s="8" t="s">
        <v>3060</v>
      </c>
    </row>
    <row r="18" ht="36.0" customHeight="1">
      <c r="A18" s="16" t="s">
        <v>3062</v>
      </c>
      <c r="B18" s="16" t="str">
        <f>IMAGE("https://lmztiles.s3.eu-west-1.amazonaws.com/Modern_Interiors_v41.3.4/1_Interiors/16x16/Theme_Sorter_Singles/16_Grocery_Store_Singles/Grocery_Store_Singles_18.png")</f>
        <v/>
      </c>
      <c r="C18" s="8" t="s">
        <v>3060</v>
      </c>
    </row>
    <row r="19" ht="36.0" customHeight="1">
      <c r="A19" s="16" t="s">
        <v>3063</v>
      </c>
      <c r="B19" s="16" t="str">
        <f>IMAGE("https://lmztiles.s3.eu-west-1.amazonaws.com/Modern_Interiors_v41.3.4/1_Interiors/16x16/Theme_Sorter_Singles/16_Grocery_Store_Singles/Grocery_Store_Singles_19.png")</f>
        <v/>
      </c>
      <c r="C19" s="8" t="s">
        <v>3058</v>
      </c>
    </row>
    <row r="20" ht="36.0" customHeight="1">
      <c r="A20" s="16" t="s">
        <v>3064</v>
      </c>
      <c r="B20" s="16" t="str">
        <f>IMAGE("https://lmztiles.s3.eu-west-1.amazonaws.com/Modern_Interiors_v41.3.4/1_Interiors/16x16/Theme_Sorter_Singles/16_Grocery_Store_Singles/Grocery_Store_Singles_20.png")</f>
        <v/>
      </c>
      <c r="C20" s="8" t="s">
        <v>3060</v>
      </c>
    </row>
    <row r="21" ht="36.0" customHeight="1">
      <c r="A21" s="16" t="s">
        <v>3065</v>
      </c>
      <c r="B21" s="16" t="str">
        <f>IMAGE("https://lmztiles.s3.eu-west-1.amazonaws.com/Modern_Interiors_v41.3.4/1_Interiors/16x16/Theme_Sorter_Singles/16_Grocery_Store_Singles/Grocery_Store_Singles_21.png")</f>
        <v/>
      </c>
      <c r="C21" s="8" t="s">
        <v>3060</v>
      </c>
    </row>
    <row r="22" ht="36.0" customHeight="1">
      <c r="A22" s="16" t="s">
        <v>3066</v>
      </c>
      <c r="B22" s="16" t="str">
        <f>IMAGE("https://lmztiles.s3.eu-west-1.amazonaws.com/Modern_Interiors_v41.3.4/1_Interiors/16x16/Theme_Sorter_Singles/16_Grocery_Store_Singles/Grocery_Store_Singles_22.png")</f>
        <v/>
      </c>
      <c r="C22" s="8" t="s">
        <v>3060</v>
      </c>
    </row>
    <row r="23" ht="36.0" customHeight="1">
      <c r="A23" s="16" t="s">
        <v>3067</v>
      </c>
      <c r="B23" s="16" t="str">
        <f>IMAGE("https://lmztiles.s3.eu-west-1.amazonaws.com/Modern_Interiors_v41.3.4/1_Interiors/16x16/Theme_Sorter_Singles/16_Grocery_Store_Singles/Grocery_Store_Singles_23.png")</f>
        <v/>
      </c>
      <c r="C23" s="8" t="s">
        <v>3058</v>
      </c>
    </row>
    <row r="24" ht="36.0" customHeight="1">
      <c r="A24" s="16" t="s">
        <v>3068</v>
      </c>
      <c r="B24" s="16" t="str">
        <f>IMAGE("https://lmztiles.s3.eu-west-1.amazonaws.com/Modern_Interiors_v41.3.4/1_Interiors/16x16/Theme_Sorter_Singles/16_Grocery_Store_Singles/Grocery_Store_Singles_24.png")</f>
        <v/>
      </c>
      <c r="C24" s="8" t="s">
        <v>3060</v>
      </c>
    </row>
    <row r="25" ht="36.0" customHeight="1">
      <c r="A25" s="16" t="s">
        <v>3069</v>
      </c>
      <c r="B25" s="16" t="str">
        <f>IMAGE("https://lmztiles.s3.eu-west-1.amazonaws.com/Modern_Interiors_v41.3.4/1_Interiors/16x16/Theme_Sorter_Singles/16_Grocery_Store_Singles/Grocery_Store_Singles_25.png")</f>
        <v/>
      </c>
      <c r="C25" s="8" t="s">
        <v>3060</v>
      </c>
    </row>
    <row r="26" ht="36.0" customHeight="1">
      <c r="A26" s="16" t="s">
        <v>3070</v>
      </c>
      <c r="B26" s="16" t="str">
        <f>IMAGE("https://lmztiles.s3.eu-west-1.amazonaws.com/Modern_Interiors_v41.3.4/1_Interiors/16x16/Theme_Sorter_Singles/16_Grocery_Store_Singles/Grocery_Store_Singles_26.png")</f>
        <v/>
      </c>
      <c r="C26" s="8" t="s">
        <v>3060</v>
      </c>
    </row>
    <row r="27" ht="36.0" customHeight="1">
      <c r="A27" s="16" t="s">
        <v>3071</v>
      </c>
      <c r="B27" s="16" t="str">
        <f>IMAGE("https://lmztiles.s3.eu-west-1.amazonaws.com/Modern_Interiors_v41.3.4/1_Interiors/16x16/Theme_Sorter_Singles/16_Grocery_Store_Singles/Grocery_Store_Singles_27.png")</f>
        <v/>
      </c>
      <c r="C27" s="8" t="s">
        <v>3072</v>
      </c>
    </row>
    <row r="28" ht="36.0" customHeight="1">
      <c r="A28" s="16" t="s">
        <v>3073</v>
      </c>
      <c r="B28" s="16" t="str">
        <f>IMAGE("https://lmztiles.s3.eu-west-1.amazonaws.com/Modern_Interiors_v41.3.4/1_Interiors/16x16/Theme_Sorter_Singles/16_Grocery_Store_Singles/Grocery_Store_Singles_28.png")</f>
        <v/>
      </c>
      <c r="C28" s="8" t="s">
        <v>3074</v>
      </c>
    </row>
    <row r="29" ht="36.0" customHeight="1">
      <c r="A29" s="16" t="s">
        <v>3075</v>
      </c>
      <c r="B29" s="16" t="str">
        <f>IMAGE("https://lmztiles.s3.eu-west-1.amazonaws.com/Modern_Interiors_v41.3.4/1_Interiors/16x16/Theme_Sorter_Singles/16_Grocery_Store_Singles/Grocery_Store_Singles_29.png")</f>
        <v/>
      </c>
      <c r="C29" s="8" t="s">
        <v>3074</v>
      </c>
    </row>
    <row r="30" ht="36.0" customHeight="1">
      <c r="A30" s="16" t="s">
        <v>3076</v>
      </c>
      <c r="B30" s="16" t="str">
        <f>IMAGE("https://lmztiles.s3.eu-west-1.amazonaws.com/Modern_Interiors_v41.3.4/1_Interiors/16x16/Theme_Sorter_Singles/16_Grocery_Store_Singles/Grocery_Store_Singles_30.png")</f>
        <v/>
      </c>
      <c r="C30" s="8" t="s">
        <v>3074</v>
      </c>
    </row>
    <row r="31" ht="36.0" customHeight="1">
      <c r="A31" s="16" t="s">
        <v>3077</v>
      </c>
      <c r="B31" s="16" t="str">
        <f>IMAGE("https://lmztiles.s3.eu-west-1.amazonaws.com/Modern_Interiors_v41.3.4/1_Interiors/16x16/Theme_Sorter_Singles/16_Grocery_Store_Singles/Grocery_Store_Singles_31.png")</f>
        <v/>
      </c>
      <c r="C31" s="8" t="s">
        <v>3072</v>
      </c>
    </row>
    <row r="32" ht="36.0" customHeight="1">
      <c r="A32" s="16" t="s">
        <v>3078</v>
      </c>
      <c r="B32" s="16" t="str">
        <f>IMAGE("https://lmztiles.s3.eu-west-1.amazonaws.com/Modern_Interiors_v41.3.4/1_Interiors/16x16/Theme_Sorter_Singles/16_Grocery_Store_Singles/Grocery_Store_Singles_32.png")</f>
        <v/>
      </c>
      <c r="C32" s="8" t="s">
        <v>3074</v>
      </c>
    </row>
    <row r="33" ht="36.0" customHeight="1">
      <c r="A33" s="16" t="s">
        <v>3079</v>
      </c>
      <c r="B33" s="16" t="str">
        <f>IMAGE("https://lmztiles.s3.eu-west-1.amazonaws.com/Modern_Interiors_v41.3.4/1_Interiors/16x16/Theme_Sorter_Singles/16_Grocery_Store_Singles/Grocery_Store_Singles_33.png")</f>
        <v/>
      </c>
      <c r="C33" s="8" t="s">
        <v>3074</v>
      </c>
    </row>
    <row r="34" ht="36.0" customHeight="1">
      <c r="A34" s="16" t="s">
        <v>3080</v>
      </c>
      <c r="B34" s="16" t="str">
        <f>IMAGE("https://lmztiles.s3.eu-west-1.amazonaws.com/Modern_Interiors_v41.3.4/1_Interiors/16x16/Theme_Sorter_Singles/16_Grocery_Store_Singles/Grocery_Store_Singles_34.png")</f>
        <v/>
      </c>
      <c r="C34" s="8" t="s">
        <v>3074</v>
      </c>
    </row>
    <row r="35" ht="36.0" customHeight="1">
      <c r="A35" s="16" t="s">
        <v>3081</v>
      </c>
      <c r="B35" s="16" t="str">
        <f>IMAGE("https://lmztiles.s3.eu-west-1.amazonaws.com/Modern_Interiors_v41.3.4/1_Interiors/16x16/Theme_Sorter_Singles/16_Grocery_Store_Singles/Grocery_Store_Singles_35.png")</f>
        <v/>
      </c>
      <c r="C35" s="8" t="s">
        <v>3072</v>
      </c>
    </row>
    <row r="36" ht="36.0" customHeight="1">
      <c r="A36" s="16" t="s">
        <v>3082</v>
      </c>
      <c r="B36" s="16" t="str">
        <f>IMAGE("https://lmztiles.s3.eu-west-1.amazonaws.com/Modern_Interiors_v41.3.4/1_Interiors/16x16/Theme_Sorter_Singles/16_Grocery_Store_Singles/Grocery_Store_Singles_36.png")</f>
        <v/>
      </c>
      <c r="C36" s="8" t="s">
        <v>3074</v>
      </c>
    </row>
    <row r="37" ht="36.0" customHeight="1">
      <c r="A37" s="16" t="s">
        <v>3083</v>
      </c>
      <c r="B37" s="16" t="str">
        <f>IMAGE("https://lmztiles.s3.eu-west-1.amazonaws.com/Modern_Interiors_v41.3.4/1_Interiors/16x16/Theme_Sorter_Singles/16_Grocery_Store_Singles/Grocery_Store_Singles_37.png")</f>
        <v/>
      </c>
      <c r="C37" s="8" t="s">
        <v>3074</v>
      </c>
    </row>
    <row r="38" ht="36.0" customHeight="1">
      <c r="A38" s="16" t="s">
        <v>3084</v>
      </c>
      <c r="B38" s="16" t="str">
        <f>IMAGE("https://lmztiles.s3.eu-west-1.amazonaws.com/Modern_Interiors_v41.3.4/1_Interiors/16x16/Theme_Sorter_Singles/16_Grocery_Store_Singles/Grocery_Store_Singles_38.png")</f>
        <v/>
      </c>
      <c r="C38" s="8" t="s">
        <v>3074</v>
      </c>
    </row>
    <row r="39" ht="36.0" customHeight="1">
      <c r="A39" s="16" t="s">
        <v>3085</v>
      </c>
      <c r="B39" s="16" t="str">
        <f>IMAGE("https://lmztiles.s3.eu-west-1.amazonaws.com/Modern_Interiors_v41.3.4/1_Interiors/16x16/Theme_Sorter_Singles/16_Grocery_Store_Singles/Grocery_Store_Singles_39.png")</f>
        <v/>
      </c>
      <c r="C39" s="8" t="s">
        <v>3086</v>
      </c>
    </row>
    <row r="40" ht="36.0" customHeight="1">
      <c r="A40" s="16" t="s">
        <v>3087</v>
      </c>
      <c r="B40" s="16" t="str">
        <f>IMAGE("https://lmztiles.s3.eu-west-1.amazonaws.com/Modern_Interiors_v41.3.4/1_Interiors/16x16/Theme_Sorter_Singles/16_Grocery_Store_Singles/Grocery_Store_Singles_40.png")</f>
        <v/>
      </c>
      <c r="C40" s="8" t="s">
        <v>3088</v>
      </c>
    </row>
    <row r="41" ht="36.0" customHeight="1">
      <c r="A41" s="16" t="s">
        <v>3089</v>
      </c>
      <c r="B41" s="16" t="str">
        <f>IMAGE("https://lmztiles.s3.eu-west-1.amazonaws.com/Modern_Interiors_v41.3.4/1_Interiors/16x16/Theme_Sorter_Singles/16_Grocery_Store_Singles/Grocery_Store_Singles_41.png")</f>
        <v/>
      </c>
      <c r="C41" s="8" t="s">
        <v>3088</v>
      </c>
    </row>
    <row r="42" ht="36.0" customHeight="1">
      <c r="A42" s="16" t="s">
        <v>3090</v>
      </c>
      <c r="B42" s="16" t="str">
        <f>IMAGE("https://lmztiles.s3.eu-west-1.amazonaws.com/Modern_Interiors_v41.3.4/1_Interiors/16x16/Theme_Sorter_Singles/16_Grocery_Store_Singles/Grocery_Store_Singles_42.png")</f>
        <v/>
      </c>
      <c r="C42" s="8" t="s">
        <v>3088</v>
      </c>
    </row>
    <row r="43" ht="36.0" customHeight="1">
      <c r="A43" s="16" t="s">
        <v>3091</v>
      </c>
      <c r="B43" s="16" t="str">
        <f>IMAGE("https://lmztiles.s3.eu-west-1.amazonaws.com/Modern_Interiors_v41.3.4/1_Interiors/16x16/Theme_Sorter_Singles/16_Grocery_Store_Singles/Grocery_Store_Singles_43.png")</f>
        <v/>
      </c>
      <c r="C43" s="8" t="s">
        <v>3086</v>
      </c>
    </row>
    <row r="44" ht="36.0" customHeight="1">
      <c r="A44" s="16" t="s">
        <v>3092</v>
      </c>
      <c r="B44" s="16" t="str">
        <f>IMAGE("https://lmztiles.s3.eu-west-1.amazonaws.com/Modern_Interiors_v41.3.4/1_Interiors/16x16/Theme_Sorter_Singles/16_Grocery_Store_Singles/Grocery_Store_Singles_44.png")</f>
        <v/>
      </c>
      <c r="C44" s="8" t="s">
        <v>3088</v>
      </c>
    </row>
    <row r="45" ht="36.0" customHeight="1">
      <c r="A45" s="16" t="s">
        <v>3093</v>
      </c>
      <c r="B45" s="16" t="str">
        <f>IMAGE("https://lmztiles.s3.eu-west-1.amazonaws.com/Modern_Interiors_v41.3.4/1_Interiors/16x16/Theme_Sorter_Singles/16_Grocery_Store_Singles/Grocery_Store_Singles_45.png")</f>
        <v/>
      </c>
      <c r="C45" s="8" t="s">
        <v>3088</v>
      </c>
    </row>
    <row r="46" ht="36.0" customHeight="1">
      <c r="A46" s="16" t="s">
        <v>3094</v>
      </c>
      <c r="B46" s="16" t="str">
        <f>IMAGE("https://lmztiles.s3.eu-west-1.amazonaws.com/Modern_Interiors_v41.3.4/1_Interiors/16x16/Theme_Sorter_Singles/16_Grocery_Store_Singles/Grocery_Store_Singles_46.png")</f>
        <v/>
      </c>
      <c r="C46" s="8" t="s">
        <v>3088</v>
      </c>
    </row>
    <row r="47" ht="36.0" customHeight="1">
      <c r="A47" s="16" t="s">
        <v>3095</v>
      </c>
      <c r="B47" s="16" t="str">
        <f>IMAGE("https://lmztiles.s3.eu-west-1.amazonaws.com/Modern_Interiors_v41.3.4/1_Interiors/16x16/Theme_Sorter_Singles/16_Grocery_Store_Singles/Grocery_Store_Singles_47.png")</f>
        <v/>
      </c>
      <c r="C47" s="8" t="s">
        <v>3086</v>
      </c>
    </row>
    <row r="48" ht="36.0" customHeight="1">
      <c r="A48" s="16" t="s">
        <v>3096</v>
      </c>
      <c r="B48" s="16" t="str">
        <f>IMAGE("https://lmztiles.s3.eu-west-1.amazonaws.com/Modern_Interiors_v41.3.4/1_Interiors/16x16/Theme_Sorter_Singles/16_Grocery_Store_Singles/Grocery_Store_Singles_48.png")</f>
        <v/>
      </c>
      <c r="C48" s="8" t="s">
        <v>3088</v>
      </c>
    </row>
    <row r="49" ht="36.0" customHeight="1">
      <c r="A49" s="16" t="s">
        <v>3097</v>
      </c>
      <c r="B49" s="16" t="str">
        <f>IMAGE("https://lmztiles.s3.eu-west-1.amazonaws.com/Modern_Interiors_v41.3.4/1_Interiors/16x16/Theme_Sorter_Singles/16_Grocery_Store_Singles/Grocery_Store_Singles_49.png")</f>
        <v/>
      </c>
      <c r="C49" s="8" t="s">
        <v>3088</v>
      </c>
    </row>
    <row r="50" ht="36.0" customHeight="1">
      <c r="A50" s="16" t="s">
        <v>3098</v>
      </c>
      <c r="B50" s="16" t="str">
        <f>IMAGE("https://lmztiles.s3.eu-west-1.amazonaws.com/Modern_Interiors_v41.3.4/1_Interiors/16x16/Theme_Sorter_Singles/16_Grocery_Store_Singles/Grocery_Store_Singles_50.png")</f>
        <v/>
      </c>
      <c r="C50" s="8" t="s">
        <v>3088</v>
      </c>
    </row>
    <row r="51" ht="36.0" customHeight="1">
      <c r="A51" s="16" t="s">
        <v>3099</v>
      </c>
      <c r="B51" s="16" t="str">
        <f>IMAGE("https://lmztiles.s3.eu-west-1.amazonaws.com/Modern_Interiors_v41.3.4/1_Interiors/16x16/Theme_Sorter_Singles/16_Grocery_Store_Singles/Grocery_Store_Singles_51.png")</f>
        <v/>
      </c>
      <c r="C51" s="8" t="s">
        <v>3100</v>
      </c>
    </row>
    <row r="52" ht="36.0" customHeight="1">
      <c r="A52" s="16" t="s">
        <v>3101</v>
      </c>
      <c r="B52" s="16" t="str">
        <f>IMAGE("https://lmztiles.s3.eu-west-1.amazonaws.com/Modern_Interiors_v41.3.4/1_Interiors/16x16/Theme_Sorter_Singles/16_Grocery_Store_Singles/Grocery_Store_Singles_52.png")</f>
        <v/>
      </c>
      <c r="C52" s="8" t="s">
        <v>3102</v>
      </c>
    </row>
    <row r="53" ht="36.0" customHeight="1">
      <c r="A53" s="16" t="s">
        <v>3103</v>
      </c>
      <c r="B53" s="16" t="str">
        <f>IMAGE("https://lmztiles.s3.eu-west-1.amazonaws.com/Modern_Interiors_v41.3.4/1_Interiors/16x16/Theme_Sorter_Singles/16_Grocery_Store_Singles/Grocery_Store_Singles_53.png")</f>
        <v/>
      </c>
      <c r="C53" s="8" t="s">
        <v>3104</v>
      </c>
    </row>
    <row r="54" ht="36.0" customHeight="1">
      <c r="A54" s="16" t="s">
        <v>3105</v>
      </c>
      <c r="B54" s="16" t="str">
        <f>IMAGE("https://lmztiles.s3.eu-west-1.amazonaws.com/Modern_Interiors_v41.3.4/1_Interiors/16x16/Theme_Sorter_Singles/16_Grocery_Store_Singles/Grocery_Store_Singles_54.png")</f>
        <v/>
      </c>
      <c r="C54" s="8" t="s">
        <v>3106</v>
      </c>
    </row>
    <row r="55" ht="36.0" customHeight="1">
      <c r="A55" s="16" t="s">
        <v>3107</v>
      </c>
      <c r="B55" s="16" t="str">
        <f>IMAGE("https://lmztiles.s3.eu-west-1.amazonaws.com/Modern_Interiors_v41.3.4/1_Interiors/16x16/Theme_Sorter_Singles/16_Grocery_Store_Singles/Grocery_Store_Singles_55.png")</f>
        <v/>
      </c>
      <c r="C55" s="8" t="s">
        <v>3108</v>
      </c>
    </row>
    <row r="56" ht="36.0" customHeight="1">
      <c r="A56" s="16" t="s">
        <v>3109</v>
      </c>
      <c r="B56" s="16" t="str">
        <f>IMAGE("https://lmztiles.s3.eu-west-1.amazonaws.com/Modern_Interiors_v41.3.4/1_Interiors/16x16/Theme_Sorter_Singles/16_Grocery_Store_Singles/Grocery_Store_Singles_56.png")</f>
        <v/>
      </c>
      <c r="C56" s="8" t="s">
        <v>3110</v>
      </c>
    </row>
    <row r="57" ht="36.0" customHeight="1">
      <c r="A57" s="16" t="s">
        <v>3111</v>
      </c>
      <c r="B57" s="16" t="str">
        <f>IMAGE("https://lmztiles.s3.eu-west-1.amazonaws.com/Modern_Interiors_v41.3.4/1_Interiors/16x16/Theme_Sorter_Singles/16_Grocery_Store_Singles/Grocery_Store_Singles_57.png")</f>
        <v/>
      </c>
      <c r="C57" s="8" t="s">
        <v>3112</v>
      </c>
    </row>
    <row r="58" ht="36.0" customHeight="1">
      <c r="A58" s="16" t="s">
        <v>3113</v>
      </c>
      <c r="B58" s="16" t="str">
        <f>IMAGE("https://lmztiles.s3.eu-west-1.amazonaws.com/Modern_Interiors_v41.3.4/1_Interiors/16x16/Theme_Sorter_Singles/16_Grocery_Store_Singles/Grocery_Store_Singles_58.png")</f>
        <v/>
      </c>
      <c r="C58" s="8" t="s">
        <v>3114</v>
      </c>
    </row>
    <row r="59" ht="36.0" customHeight="1">
      <c r="A59" s="16" t="s">
        <v>3115</v>
      </c>
      <c r="B59" s="16" t="str">
        <f>IMAGE("https://lmztiles.s3.eu-west-1.amazonaws.com/Modern_Interiors_v41.3.4/1_Interiors/16x16/Theme_Sorter_Singles/16_Grocery_Store_Singles/Grocery_Store_Singles_59.png")</f>
        <v/>
      </c>
      <c r="C59" s="8" t="s">
        <v>3116</v>
      </c>
    </row>
    <row r="60" ht="36.0" customHeight="1">
      <c r="A60" s="16" t="s">
        <v>3117</v>
      </c>
      <c r="B60" s="16" t="str">
        <f>IMAGE("https://lmztiles.s3.eu-west-1.amazonaws.com/Modern_Interiors_v41.3.4/1_Interiors/16x16/Theme_Sorter_Singles/16_Grocery_Store_Singles/Grocery_Store_Singles_60.png")</f>
        <v/>
      </c>
      <c r="C60" s="8" t="s">
        <v>3118</v>
      </c>
    </row>
    <row r="61" ht="36.0" customHeight="1">
      <c r="A61" s="16" t="s">
        <v>3119</v>
      </c>
      <c r="B61" s="16" t="str">
        <f>IMAGE("https://lmztiles.s3.eu-west-1.amazonaws.com/Modern_Interiors_v41.3.4/1_Interiors/16x16/Theme_Sorter_Singles/16_Grocery_Store_Singles/Grocery_Store_Singles_61.png")</f>
        <v/>
      </c>
      <c r="C61" s="8" t="s">
        <v>3110</v>
      </c>
    </row>
    <row r="62" ht="36.0" customHeight="1">
      <c r="A62" s="16" t="s">
        <v>3120</v>
      </c>
      <c r="B62" s="16" t="str">
        <f>IMAGE("https://lmztiles.s3.eu-west-1.amazonaws.com/Modern_Interiors_v41.3.4/1_Interiors/16x16/Theme_Sorter_Singles/16_Grocery_Store_Singles/Grocery_Store_Singles_62.png")</f>
        <v/>
      </c>
      <c r="C62" s="8" t="s">
        <v>3112</v>
      </c>
    </row>
    <row r="63" ht="36.0" customHeight="1">
      <c r="A63" s="16" t="s">
        <v>3121</v>
      </c>
      <c r="B63" s="16" t="str">
        <f>IMAGE("https://lmztiles.s3.eu-west-1.amazonaws.com/Modern_Interiors_v41.3.4/1_Interiors/16x16/Theme_Sorter_Singles/16_Grocery_Store_Singles/Grocery_Store_Singles_63.png")</f>
        <v/>
      </c>
      <c r="C63" s="8" t="s">
        <v>3114</v>
      </c>
    </row>
    <row r="64" ht="36.0" customHeight="1">
      <c r="A64" s="16" t="s">
        <v>3122</v>
      </c>
      <c r="B64" s="16" t="str">
        <f>IMAGE("https://lmztiles.s3.eu-west-1.amazonaws.com/Modern_Interiors_v41.3.4/1_Interiors/16x16/Theme_Sorter_Singles/16_Grocery_Store_Singles/Grocery_Store_Singles_64.png")</f>
        <v/>
      </c>
      <c r="C64" s="8" t="s">
        <v>3116</v>
      </c>
    </row>
    <row r="65" ht="36.0" customHeight="1">
      <c r="A65" s="16" t="s">
        <v>3123</v>
      </c>
      <c r="B65" s="16" t="str">
        <f>IMAGE("https://lmztiles.s3.eu-west-1.amazonaws.com/Modern_Interiors_v41.3.4/1_Interiors/16x16/Theme_Sorter_Singles/16_Grocery_Store_Singles/Grocery_Store_Singles_65.png")</f>
        <v/>
      </c>
      <c r="C65" s="8" t="s">
        <v>3118</v>
      </c>
    </row>
    <row r="66" ht="36.0" customHeight="1">
      <c r="A66" s="16" t="s">
        <v>3124</v>
      </c>
      <c r="B66" s="16" t="str">
        <f>IMAGE("https://lmztiles.s3.eu-west-1.amazonaws.com/Modern_Interiors_v41.3.4/1_Interiors/16x16/Theme_Sorter_Singles/16_Grocery_Store_Singles/Grocery_Store_Singles_66.png")</f>
        <v/>
      </c>
      <c r="C66" s="8" t="s">
        <v>3110</v>
      </c>
    </row>
    <row r="67" ht="36.0" customHeight="1">
      <c r="A67" s="16" t="s">
        <v>3125</v>
      </c>
      <c r="B67" s="16" t="str">
        <f>IMAGE("https://lmztiles.s3.eu-west-1.amazonaws.com/Modern_Interiors_v41.3.4/1_Interiors/16x16/Theme_Sorter_Singles/16_Grocery_Store_Singles/Grocery_Store_Singles_67.png")</f>
        <v/>
      </c>
      <c r="C67" s="8" t="s">
        <v>3112</v>
      </c>
    </row>
    <row r="68" ht="36.0" customHeight="1">
      <c r="A68" s="16" t="s">
        <v>3126</v>
      </c>
      <c r="B68" s="16" t="str">
        <f>IMAGE("https://lmztiles.s3.eu-west-1.amazonaws.com/Modern_Interiors_v41.3.4/1_Interiors/16x16/Theme_Sorter_Singles/16_Grocery_Store_Singles/Grocery_Store_Singles_68.png")</f>
        <v/>
      </c>
      <c r="C68" s="8" t="s">
        <v>3114</v>
      </c>
    </row>
    <row r="69" ht="36.0" customHeight="1">
      <c r="A69" s="16" t="s">
        <v>3127</v>
      </c>
      <c r="B69" s="16" t="str">
        <f>IMAGE("https://lmztiles.s3.eu-west-1.amazonaws.com/Modern_Interiors_v41.3.4/1_Interiors/16x16/Theme_Sorter_Singles/16_Grocery_Store_Singles/Grocery_Store_Singles_69.png")</f>
        <v/>
      </c>
      <c r="C69" s="8" t="s">
        <v>3116</v>
      </c>
    </row>
    <row r="70" ht="36.0" customHeight="1">
      <c r="A70" s="16" t="s">
        <v>3128</v>
      </c>
      <c r="B70" s="16" t="str">
        <f>IMAGE("https://lmztiles.s3.eu-west-1.amazonaws.com/Modern_Interiors_v41.3.4/1_Interiors/16x16/Theme_Sorter_Singles/16_Grocery_Store_Singles/Grocery_Store_Singles_70.png")</f>
        <v/>
      </c>
      <c r="C70" s="8" t="s">
        <v>3118</v>
      </c>
    </row>
    <row r="71" ht="36.0" customHeight="1">
      <c r="A71" s="16" t="s">
        <v>3129</v>
      </c>
      <c r="B71" s="16" t="str">
        <f>IMAGE("https://lmztiles.s3.eu-west-1.amazonaws.com/Modern_Interiors_v41.3.4/1_Interiors/16x16/Theme_Sorter_Singles/16_Grocery_Store_Singles/Grocery_Store_Singles_71.png")</f>
        <v/>
      </c>
      <c r="C71" s="8" t="s">
        <v>3110</v>
      </c>
    </row>
    <row r="72" ht="36.0" customHeight="1">
      <c r="A72" s="16" t="s">
        <v>3130</v>
      </c>
      <c r="B72" s="16" t="str">
        <f>IMAGE("https://lmztiles.s3.eu-west-1.amazonaws.com/Modern_Interiors_v41.3.4/1_Interiors/16x16/Theme_Sorter_Singles/16_Grocery_Store_Singles/Grocery_Store_Singles_72.png")</f>
        <v/>
      </c>
      <c r="C72" s="8" t="s">
        <v>3112</v>
      </c>
    </row>
    <row r="73" ht="36.0" customHeight="1">
      <c r="A73" s="16" t="s">
        <v>3131</v>
      </c>
      <c r="B73" s="16" t="str">
        <f>IMAGE("https://lmztiles.s3.eu-west-1.amazonaws.com/Modern_Interiors_v41.3.4/1_Interiors/16x16/Theme_Sorter_Singles/16_Grocery_Store_Singles/Grocery_Store_Singles_73.png")</f>
        <v/>
      </c>
      <c r="C73" s="8" t="s">
        <v>3114</v>
      </c>
    </row>
    <row r="74" ht="36.0" customHeight="1">
      <c r="A74" s="16" t="s">
        <v>3132</v>
      </c>
      <c r="B74" s="16" t="str">
        <f>IMAGE("https://lmztiles.s3.eu-west-1.amazonaws.com/Modern_Interiors_v41.3.4/1_Interiors/16x16/Theme_Sorter_Singles/16_Grocery_Store_Singles/Grocery_Store_Singles_74.png")</f>
        <v/>
      </c>
      <c r="C74" s="8" t="s">
        <v>3116</v>
      </c>
    </row>
    <row r="75" ht="36.0" customHeight="1">
      <c r="A75" s="16" t="s">
        <v>3133</v>
      </c>
      <c r="B75" s="16" t="str">
        <f>IMAGE("https://lmztiles.s3.eu-west-1.amazonaws.com/Modern_Interiors_v41.3.4/1_Interiors/16x16/Theme_Sorter_Singles/16_Grocery_Store_Singles/Grocery_Store_Singles_75.png")</f>
        <v/>
      </c>
      <c r="C75" s="8" t="s">
        <v>3118</v>
      </c>
    </row>
    <row r="76" ht="36.0" customHeight="1">
      <c r="A76" s="16" t="s">
        <v>3134</v>
      </c>
      <c r="B76" s="16" t="str">
        <f>IMAGE("https://lmztiles.s3.eu-west-1.amazonaws.com/Modern_Interiors_v41.3.4/1_Interiors/16x16/Theme_Sorter_Singles/16_Grocery_Store_Singles/Grocery_Store_Singles_76.png")</f>
        <v/>
      </c>
      <c r="C76" s="8" t="s">
        <v>3135</v>
      </c>
    </row>
    <row r="77" ht="36.0" customHeight="1">
      <c r="A77" s="16" t="s">
        <v>3136</v>
      </c>
      <c r="B77" s="16" t="str">
        <f>IMAGE("https://lmztiles.s3.eu-west-1.amazonaws.com/Modern_Interiors_v41.3.4/1_Interiors/16x16/Theme_Sorter_Singles/16_Grocery_Store_Singles/Grocery_Store_Singles_77.png")</f>
        <v/>
      </c>
      <c r="C77" s="8" t="s">
        <v>3137</v>
      </c>
    </row>
    <row r="78" ht="36.0" customHeight="1">
      <c r="A78" s="16" t="s">
        <v>3138</v>
      </c>
      <c r="B78" s="16" t="str">
        <f>IMAGE("https://lmztiles.s3.eu-west-1.amazonaws.com/Modern_Interiors_v41.3.4/1_Interiors/16x16/Theme_Sorter_Singles/16_Grocery_Store_Singles/Grocery_Store_Singles_78.png")</f>
        <v/>
      </c>
      <c r="C78" s="8" t="s">
        <v>3139</v>
      </c>
    </row>
    <row r="79" ht="36.0" customHeight="1">
      <c r="A79" s="16" t="s">
        <v>3140</v>
      </c>
      <c r="B79" s="16" t="str">
        <f>IMAGE("https://lmztiles.s3.eu-west-1.amazonaws.com/Modern_Interiors_v41.3.4/1_Interiors/16x16/Theme_Sorter_Singles/16_Grocery_Store_Singles/Grocery_Store_Singles_79.png")</f>
        <v/>
      </c>
      <c r="C79" s="8" t="s">
        <v>3135</v>
      </c>
    </row>
    <row r="80" ht="36.0" customHeight="1">
      <c r="A80" s="16" t="s">
        <v>3141</v>
      </c>
      <c r="B80" s="16" t="str">
        <f>IMAGE("https://lmztiles.s3.eu-west-1.amazonaws.com/Modern_Interiors_v41.3.4/1_Interiors/16x16/Theme_Sorter_Singles/16_Grocery_Store_Singles/Grocery_Store_Singles_80.png")</f>
        <v/>
      </c>
      <c r="C80" s="8" t="s">
        <v>3137</v>
      </c>
    </row>
    <row r="81" ht="36.0" customHeight="1">
      <c r="A81" s="16" t="s">
        <v>3142</v>
      </c>
      <c r="B81" s="16" t="str">
        <f>IMAGE("https://lmztiles.s3.eu-west-1.amazonaws.com/Modern_Interiors_v41.3.4/1_Interiors/16x16/Theme_Sorter_Singles/16_Grocery_Store_Singles/Grocery_Store_Singles_81.png")</f>
        <v/>
      </c>
      <c r="C81" s="8" t="s">
        <v>3139</v>
      </c>
    </row>
    <row r="82" ht="36.0" customHeight="1">
      <c r="A82" s="16" t="s">
        <v>3143</v>
      </c>
      <c r="B82" s="16" t="str">
        <f>IMAGE("https://lmztiles.s3.eu-west-1.amazonaws.com/Modern_Interiors_v41.3.4/1_Interiors/16x16/Theme_Sorter_Singles/16_Grocery_Store_Singles/Grocery_Store_Singles_82.png")</f>
        <v/>
      </c>
    </row>
    <row r="83" ht="36.0" customHeight="1">
      <c r="A83" s="16" t="s">
        <v>3144</v>
      </c>
      <c r="B83" s="16" t="str">
        <f>IMAGE("https://lmztiles.s3.eu-west-1.amazonaws.com/Modern_Interiors_v41.3.4/1_Interiors/16x16/Theme_Sorter_Singles/16_Grocery_Store_Singles/Grocery_Store_Singles_83.png")</f>
        <v/>
      </c>
    </row>
    <row r="84" ht="36.0" customHeight="1">
      <c r="A84" s="16" t="s">
        <v>3145</v>
      </c>
      <c r="B84" s="16" t="str">
        <f>IMAGE("https://lmztiles.s3.eu-west-1.amazonaws.com/Modern_Interiors_v41.3.4/1_Interiors/16x16/Theme_Sorter_Singles/16_Grocery_Store_Singles/Grocery_Store_Singles_84.png")</f>
        <v/>
      </c>
    </row>
    <row r="85" ht="36.0" customHeight="1">
      <c r="A85" s="16" t="s">
        <v>3146</v>
      </c>
      <c r="B85" s="16" t="str">
        <f>IMAGE("https://lmztiles.s3.eu-west-1.amazonaws.com/Modern_Interiors_v41.3.4/1_Interiors/16x16/Theme_Sorter_Singles/16_Grocery_Store_Singles/Grocery_Store_Singles_85.png")</f>
        <v/>
      </c>
    </row>
    <row r="86" ht="36.0" customHeight="1">
      <c r="A86" s="16" t="s">
        <v>3147</v>
      </c>
      <c r="B86" s="16" t="str">
        <f>IMAGE("https://lmztiles.s3.eu-west-1.amazonaws.com/Modern_Interiors_v41.3.4/1_Interiors/16x16/Theme_Sorter_Singles/16_Grocery_Store_Singles/Grocery_Store_Singles_86.png")</f>
        <v/>
      </c>
    </row>
    <row r="87" ht="36.0" customHeight="1">
      <c r="A87" s="16" t="s">
        <v>3148</v>
      </c>
      <c r="B87" s="16" t="str">
        <f>IMAGE("https://lmztiles.s3.eu-west-1.amazonaws.com/Modern_Interiors_v41.3.4/1_Interiors/16x16/Theme_Sorter_Singles/16_Grocery_Store_Singles/Grocery_Store_Singles_87.png")</f>
        <v/>
      </c>
    </row>
    <row r="88" ht="36.0" customHeight="1">
      <c r="A88" s="16" t="s">
        <v>3149</v>
      </c>
      <c r="B88" s="16" t="str">
        <f>IMAGE("https://lmztiles.s3.eu-west-1.amazonaws.com/Modern_Interiors_v41.3.4/1_Interiors/16x16/Theme_Sorter_Singles/16_Grocery_Store_Singles/Grocery_Store_Singles_88.png")</f>
        <v/>
      </c>
      <c r="C88" s="8" t="s">
        <v>3150</v>
      </c>
    </row>
    <row r="89" ht="36.0" customHeight="1">
      <c r="A89" s="16" t="s">
        <v>3151</v>
      </c>
      <c r="B89" s="16" t="str">
        <f>IMAGE("https://lmztiles.s3.eu-west-1.amazonaws.com/Modern_Interiors_v41.3.4/1_Interiors/16x16/Theme_Sorter_Singles/16_Grocery_Store_Singles/Grocery_Store_Singles_89.png")</f>
        <v/>
      </c>
      <c r="C89" s="8" t="s">
        <v>3152</v>
      </c>
    </row>
    <row r="90" ht="36.0" customHeight="1">
      <c r="A90" s="16" t="s">
        <v>3153</v>
      </c>
      <c r="B90" s="16" t="str">
        <f>IMAGE("https://lmztiles.s3.eu-west-1.amazonaws.com/Modern_Interiors_v41.3.4/1_Interiors/16x16/Theme_Sorter_Singles/16_Grocery_Store_Singles/Grocery_Store_Singles_90.png")</f>
        <v/>
      </c>
      <c r="C90" s="8" t="s">
        <v>3154</v>
      </c>
    </row>
    <row r="91" ht="36.0" customHeight="1">
      <c r="A91" s="16" t="s">
        <v>3155</v>
      </c>
      <c r="B91" s="16" t="str">
        <f>IMAGE("https://lmztiles.s3.eu-west-1.amazonaws.com/Modern_Interiors_v41.3.4/1_Interiors/16x16/Theme_Sorter_Singles/16_Grocery_Store_Singles/Grocery_Store_Singles_91.png")</f>
        <v/>
      </c>
      <c r="C91" s="8" t="s">
        <v>3156</v>
      </c>
    </row>
    <row r="92" ht="36.0" customHeight="1">
      <c r="A92" s="16" t="s">
        <v>3157</v>
      </c>
      <c r="B92" s="16" t="str">
        <f>IMAGE("https://lmztiles.s3.eu-west-1.amazonaws.com/Modern_Interiors_v41.3.4/1_Interiors/16x16/Theme_Sorter_Singles/16_Grocery_Store_Singles/Grocery_Store_Singles_92.png")</f>
        <v/>
      </c>
      <c r="C92" s="8" t="s">
        <v>3158</v>
      </c>
    </row>
    <row r="93" ht="36.0" customHeight="1">
      <c r="A93" s="16" t="s">
        <v>3159</v>
      </c>
      <c r="B93" s="16" t="str">
        <f>IMAGE("https://lmztiles.s3.eu-west-1.amazonaws.com/Modern_Interiors_v41.3.4/1_Interiors/16x16/Theme_Sorter_Singles/16_Grocery_Store_Singles/Grocery_Store_Singles_93.png")</f>
        <v/>
      </c>
      <c r="C93" s="8" t="s">
        <v>3150</v>
      </c>
    </row>
    <row r="94" ht="36.0" customHeight="1">
      <c r="A94" s="16" t="s">
        <v>3160</v>
      </c>
      <c r="B94" s="16" t="str">
        <f>IMAGE("https://lmztiles.s3.eu-west-1.amazonaws.com/Modern_Interiors_v41.3.4/1_Interiors/16x16/Theme_Sorter_Singles/16_Grocery_Store_Singles/Grocery_Store_Singles_94.png")</f>
        <v/>
      </c>
      <c r="C94" s="8" t="s">
        <v>3152</v>
      </c>
    </row>
    <row r="95" ht="36.0" customHeight="1">
      <c r="A95" s="16" t="s">
        <v>3161</v>
      </c>
      <c r="B95" s="16" t="str">
        <f>IMAGE("https://lmztiles.s3.eu-west-1.amazonaws.com/Modern_Interiors_v41.3.4/1_Interiors/16x16/Theme_Sorter_Singles/16_Grocery_Store_Singles/Grocery_Store_Singles_95.png")</f>
        <v/>
      </c>
      <c r="C95" s="8" t="s">
        <v>3154</v>
      </c>
    </row>
    <row r="96" ht="36.0" customHeight="1">
      <c r="A96" s="16" t="s">
        <v>3162</v>
      </c>
      <c r="B96" s="16" t="str">
        <f>IMAGE("https://lmztiles.s3.eu-west-1.amazonaws.com/Modern_Interiors_v41.3.4/1_Interiors/16x16/Theme_Sorter_Singles/16_Grocery_Store_Singles/Grocery_Store_Singles_96.png")</f>
        <v/>
      </c>
      <c r="C96" s="8" t="s">
        <v>3156</v>
      </c>
    </row>
    <row r="97" ht="36.0" customHeight="1">
      <c r="A97" s="16" t="s">
        <v>3163</v>
      </c>
      <c r="B97" s="16" t="str">
        <f>IMAGE("https://lmztiles.s3.eu-west-1.amazonaws.com/Modern_Interiors_v41.3.4/1_Interiors/16x16/Theme_Sorter_Singles/16_Grocery_Store_Singles/Grocery_Store_Singles_97.png")</f>
        <v/>
      </c>
      <c r="C97" s="8" t="s">
        <v>3158</v>
      </c>
    </row>
    <row r="98" ht="36.0" customHeight="1">
      <c r="A98" s="16" t="s">
        <v>3164</v>
      </c>
      <c r="B98" s="16" t="str">
        <f>IMAGE("https://lmztiles.s3.eu-west-1.amazonaws.com/Modern_Interiors_v41.3.4/1_Interiors/16x16/Theme_Sorter_Singles/16_Grocery_Store_Singles/Grocery_Store_Singles_98.png")</f>
        <v/>
      </c>
      <c r="C98" s="8" t="s">
        <v>3165</v>
      </c>
    </row>
    <row r="99" ht="36.0" customHeight="1">
      <c r="A99" s="16" t="s">
        <v>3166</v>
      </c>
      <c r="B99" s="16" t="str">
        <f>IMAGE("https://lmztiles.s3.eu-west-1.amazonaws.com/Modern_Interiors_v41.3.4/1_Interiors/16x16/Theme_Sorter_Singles/16_Grocery_Store_Singles/Grocery_Store_Singles_99.png")</f>
        <v/>
      </c>
      <c r="C99" s="8" t="s">
        <v>3165</v>
      </c>
    </row>
    <row r="100" ht="36.0" customHeight="1">
      <c r="A100" s="16" t="s">
        <v>3167</v>
      </c>
      <c r="B100" s="16" t="str">
        <f>IMAGE("https://lmztiles.s3.eu-west-1.amazonaws.com/Modern_Interiors_v41.3.4/1_Interiors/16x16/Theme_Sorter_Singles/16_Grocery_Store_Singles/Grocery_Store_Singles_100.png")</f>
        <v/>
      </c>
      <c r="C100" s="8" t="s">
        <v>3165</v>
      </c>
    </row>
    <row r="101" ht="36.0" customHeight="1">
      <c r="A101" s="16" t="s">
        <v>3168</v>
      </c>
      <c r="B101" s="16" t="str">
        <f>IMAGE("https://lmztiles.s3.eu-west-1.amazonaws.com/Modern_Interiors_v41.3.4/1_Interiors/16x16/Theme_Sorter_Singles/16_Grocery_Store_Singles/Grocery_Store_Singles_101.png")</f>
        <v/>
      </c>
      <c r="C101" s="8" t="s">
        <v>3165</v>
      </c>
    </row>
    <row r="102" ht="36.0" customHeight="1">
      <c r="A102" s="16" t="s">
        <v>3169</v>
      </c>
      <c r="B102" s="16" t="str">
        <f>IMAGE("https://lmztiles.s3.eu-west-1.amazonaws.com/Modern_Interiors_v41.3.4/1_Interiors/16x16/Theme_Sorter_Singles/16_Grocery_Store_Singles/Grocery_Store_Singles_102.png")</f>
        <v/>
      </c>
      <c r="C102" s="8" t="s">
        <v>3165</v>
      </c>
    </row>
    <row r="103" ht="36.0" customHeight="1">
      <c r="A103" s="16" t="s">
        <v>3170</v>
      </c>
      <c r="B103" s="16" t="str">
        <f>IMAGE("https://lmztiles.s3.eu-west-1.amazonaws.com/Modern_Interiors_v41.3.4/1_Interiors/16x16/Theme_Sorter_Singles/16_Grocery_Store_Singles/Grocery_Store_Singles_103.png")</f>
        <v/>
      </c>
      <c r="C103" s="8" t="s">
        <v>3165</v>
      </c>
    </row>
    <row r="104" ht="36.0" customHeight="1">
      <c r="A104" s="16" t="s">
        <v>3171</v>
      </c>
      <c r="B104" s="16" t="str">
        <f>IMAGE("https://lmztiles.s3.eu-west-1.amazonaws.com/Modern_Interiors_v41.3.4/1_Interiors/16x16/Theme_Sorter_Singles/16_Grocery_Store_Singles/Grocery_Store_Singles_104.png")</f>
        <v/>
      </c>
      <c r="C104" s="8" t="s">
        <v>3137</v>
      </c>
    </row>
    <row r="105" ht="36.0" customHeight="1">
      <c r="A105" s="16" t="s">
        <v>3172</v>
      </c>
      <c r="B105" s="16" t="str">
        <f>IMAGE("https://lmztiles.s3.eu-west-1.amazonaws.com/Modern_Interiors_v41.3.4/1_Interiors/16x16/Theme_Sorter_Singles/16_Grocery_Store_Singles/Grocery_Store_Singles_105.png")</f>
        <v/>
      </c>
      <c r="C105" s="8" t="s">
        <v>3165</v>
      </c>
    </row>
    <row r="106" ht="36.0" customHeight="1">
      <c r="A106" s="16" t="s">
        <v>3173</v>
      </c>
      <c r="B106" s="16" t="str">
        <f>IMAGE("https://lmztiles.s3.eu-west-1.amazonaws.com/Modern_Interiors_v41.3.4/1_Interiors/16x16/Theme_Sorter_Singles/16_Grocery_Store_Singles/Grocery_Store_Singles_106.png")</f>
        <v/>
      </c>
      <c r="C106" s="8" t="s">
        <v>3165</v>
      </c>
    </row>
    <row r="107" ht="36.0" customHeight="1">
      <c r="A107" s="16" t="s">
        <v>3174</v>
      </c>
      <c r="B107" s="16" t="str">
        <f>IMAGE("https://lmztiles.s3.eu-west-1.amazonaws.com/Modern_Interiors_v41.3.4/1_Interiors/16x16/Theme_Sorter_Singles/16_Grocery_Store_Singles/Grocery_Store_Singles_107.png")</f>
        <v/>
      </c>
      <c r="C107" s="8" t="s">
        <v>3175</v>
      </c>
    </row>
    <row r="108" ht="36.0" customHeight="1">
      <c r="A108" s="16" t="s">
        <v>3176</v>
      </c>
      <c r="B108" s="16" t="str">
        <f>IMAGE("https://lmztiles.s3.eu-west-1.amazonaws.com/Modern_Interiors_v41.3.4/1_Interiors/16x16/Theme_Sorter_Singles/16_Grocery_Store_Singles/Grocery_Store_Singles_108.png")</f>
        <v/>
      </c>
      <c r="C108" s="8" t="s">
        <v>3177</v>
      </c>
    </row>
    <row r="109" ht="36.0" customHeight="1">
      <c r="A109" s="16" t="s">
        <v>3178</v>
      </c>
      <c r="B109" s="16" t="str">
        <f>IMAGE("https://lmztiles.s3.eu-west-1.amazonaws.com/Modern_Interiors_v41.3.4/1_Interiors/16x16/Theme_Sorter_Singles/16_Grocery_Store_Singles/Grocery_Store_Singles_109.png")</f>
        <v/>
      </c>
      <c r="C109" s="8" t="s">
        <v>3179</v>
      </c>
    </row>
    <row r="110" ht="36.0" customHeight="1">
      <c r="A110" s="16" t="s">
        <v>3180</v>
      </c>
      <c r="B110" s="16" t="str">
        <f>IMAGE("https://lmztiles.s3.eu-west-1.amazonaws.com/Modern_Interiors_v41.3.4/1_Interiors/16x16/Theme_Sorter_Singles/16_Grocery_Store_Singles/Grocery_Store_Singles_110.png")</f>
        <v/>
      </c>
      <c r="C110" s="8" t="s">
        <v>3175</v>
      </c>
    </row>
    <row r="111" ht="36.0" customHeight="1">
      <c r="A111" s="16" t="s">
        <v>3181</v>
      </c>
      <c r="B111" s="16" t="str">
        <f>IMAGE("https://lmztiles.s3.eu-west-1.amazonaws.com/Modern_Interiors_v41.3.4/1_Interiors/16x16/Theme_Sorter_Singles/16_Grocery_Store_Singles/Grocery_Store_Singles_111.png")</f>
        <v/>
      </c>
      <c r="C111" s="8" t="s">
        <v>3177</v>
      </c>
    </row>
    <row r="112" ht="36.0" customHeight="1">
      <c r="A112" s="16" t="s">
        <v>3182</v>
      </c>
      <c r="B112" s="16" t="str">
        <f>IMAGE("https://lmztiles.s3.eu-west-1.amazonaws.com/Modern_Interiors_v41.3.4/1_Interiors/16x16/Theme_Sorter_Singles/16_Grocery_Store_Singles/Grocery_Store_Singles_112.png")</f>
        <v/>
      </c>
      <c r="C112" s="8" t="s">
        <v>3179</v>
      </c>
    </row>
    <row r="113" ht="36.0" customHeight="1">
      <c r="A113" s="16" t="s">
        <v>3183</v>
      </c>
      <c r="B113" s="16" t="str">
        <f>IMAGE("https://lmztiles.s3.eu-west-1.amazonaws.com/Modern_Interiors_v41.3.4/1_Interiors/16x16/Theme_Sorter_Singles/16_Grocery_Store_Singles/Grocery_Store_Singles_113.png")</f>
        <v/>
      </c>
      <c r="C113" s="8" t="s">
        <v>3184</v>
      </c>
    </row>
    <row r="114" ht="36.0" customHeight="1">
      <c r="A114" s="16" t="s">
        <v>3185</v>
      </c>
      <c r="B114" s="16" t="str">
        <f>IMAGE("https://lmztiles.s3.eu-west-1.amazonaws.com/Modern_Interiors_v41.3.4/1_Interiors/16x16/Theme_Sorter_Singles/16_Grocery_Store_Singles/Grocery_Store_Singles_114.png")</f>
        <v/>
      </c>
      <c r="C114" s="8" t="s">
        <v>3184</v>
      </c>
    </row>
    <row r="115" ht="36.0" customHeight="1">
      <c r="A115" s="16" t="s">
        <v>3186</v>
      </c>
      <c r="B115" s="16" t="str">
        <f>IMAGE("https://lmztiles.s3.eu-west-1.amazonaws.com/Modern_Interiors_v41.3.4/1_Interiors/16x16/Theme_Sorter_Singles/16_Grocery_Store_Singles/Grocery_Store_Singles_115.png")</f>
        <v/>
      </c>
      <c r="C115" s="8" t="s">
        <v>3184</v>
      </c>
    </row>
    <row r="116" ht="36.0" customHeight="1">
      <c r="A116" s="16" t="s">
        <v>3187</v>
      </c>
      <c r="B116" s="16" t="str">
        <f>IMAGE("https://lmztiles.s3.eu-west-1.amazonaws.com/Modern_Interiors_v41.3.4/1_Interiors/16x16/Theme_Sorter_Singles/16_Grocery_Store_Singles/Grocery_Store_Singles_116.png")</f>
        <v/>
      </c>
      <c r="C116" s="8" t="s">
        <v>3184</v>
      </c>
    </row>
    <row r="117" ht="36.0" customHeight="1">
      <c r="A117" s="16" t="s">
        <v>3188</v>
      </c>
      <c r="B117" s="16" t="str">
        <f>IMAGE("https://lmztiles.s3.eu-west-1.amazonaws.com/Modern_Interiors_v41.3.4/1_Interiors/16x16/Theme_Sorter_Singles/16_Grocery_Store_Singles/Grocery_Store_Singles_117.png")</f>
        <v/>
      </c>
      <c r="C117" s="8" t="s">
        <v>3189</v>
      </c>
    </row>
    <row r="118" ht="36.0" customHeight="1">
      <c r="A118" s="16" t="s">
        <v>3190</v>
      </c>
      <c r="B118" s="16" t="str">
        <f>IMAGE("https://lmztiles.s3.eu-west-1.amazonaws.com/Modern_Interiors_v41.3.4/1_Interiors/16x16/Theme_Sorter_Singles/16_Grocery_Store_Singles/Grocery_Store_Singles_118.png")</f>
        <v/>
      </c>
      <c r="C118" s="8" t="s">
        <v>3191</v>
      </c>
    </row>
    <row r="119" ht="36.0" customHeight="1">
      <c r="A119" s="16" t="s">
        <v>3192</v>
      </c>
      <c r="B119" s="16" t="str">
        <f>IMAGE("https://lmztiles.s3.eu-west-1.amazonaws.com/Modern_Interiors_v41.3.4/1_Interiors/16x16/Theme_Sorter_Singles/16_Grocery_Store_Singles/Grocery_Store_Singles_119.png")</f>
        <v/>
      </c>
      <c r="C119" s="8" t="s">
        <v>3193</v>
      </c>
    </row>
    <row r="120" ht="36.0" customHeight="1">
      <c r="A120" s="16" t="s">
        <v>3194</v>
      </c>
      <c r="B120" s="16" t="str">
        <f>IMAGE("https://lmztiles.s3.eu-west-1.amazonaws.com/Modern_Interiors_v41.3.4/1_Interiors/16x16/Theme_Sorter_Singles/16_Grocery_Store_Singles/Grocery_Store_Singles_120.png")</f>
        <v/>
      </c>
      <c r="C120" s="8" t="s">
        <v>3195</v>
      </c>
    </row>
    <row r="121" ht="36.0" customHeight="1">
      <c r="A121" s="16" t="s">
        <v>3196</v>
      </c>
      <c r="B121" s="16" t="str">
        <f>IMAGE("https://lmztiles.s3.eu-west-1.amazonaws.com/Modern_Interiors_v41.3.4/1_Interiors/16x16/Theme_Sorter_Singles/16_Grocery_Store_Singles/Grocery_Store_Singles_121.png")</f>
        <v/>
      </c>
      <c r="C121" s="8" t="s">
        <v>3193</v>
      </c>
    </row>
    <row r="122" ht="36.0" customHeight="1">
      <c r="A122" s="16" t="s">
        <v>3197</v>
      </c>
      <c r="B122" s="16" t="str">
        <f>IMAGE("https://lmztiles.s3.eu-west-1.amazonaws.com/Modern_Interiors_v41.3.4/1_Interiors/16x16/Theme_Sorter_Singles/16_Grocery_Store_Singles/Grocery_Store_Singles_122.png")</f>
        <v/>
      </c>
      <c r="C122" s="8" t="s">
        <v>3193</v>
      </c>
    </row>
    <row r="123" ht="36.0" customHeight="1">
      <c r="A123" s="16" t="s">
        <v>3198</v>
      </c>
      <c r="B123" s="16" t="str">
        <f>IMAGE("https://lmztiles.s3.eu-west-1.amazonaws.com/Modern_Interiors_v41.3.4/1_Interiors/16x16/Theme_Sorter_Singles/16_Grocery_Store_Singles/Grocery_Store_Singles_123.png")</f>
        <v/>
      </c>
      <c r="C123" s="8" t="s">
        <v>3199</v>
      </c>
    </row>
    <row r="124" ht="36.0" customHeight="1">
      <c r="A124" s="16" t="s">
        <v>3200</v>
      </c>
      <c r="B124" s="16" t="str">
        <f>IMAGE("https://lmztiles.s3.eu-west-1.amazonaws.com/Modern_Interiors_v41.3.4/1_Interiors/16x16/Theme_Sorter_Singles/16_Grocery_Store_Singles/Grocery_Store_Singles_124.png")</f>
        <v/>
      </c>
      <c r="C124" s="8" t="s">
        <v>3201</v>
      </c>
    </row>
    <row r="125" ht="36.0" customHeight="1">
      <c r="A125" s="16" t="s">
        <v>3202</v>
      </c>
      <c r="B125" s="16" t="str">
        <f>IMAGE("https://lmztiles.s3.eu-west-1.amazonaws.com/Modern_Interiors_v41.3.4/1_Interiors/16x16/Theme_Sorter_Singles/16_Grocery_Store_Singles/Grocery_Store_Singles_125.png")</f>
        <v/>
      </c>
      <c r="C125" s="8" t="s">
        <v>3203</v>
      </c>
    </row>
    <row r="126" ht="36.0" customHeight="1">
      <c r="A126" s="16" t="s">
        <v>3204</v>
      </c>
      <c r="B126" s="16" t="str">
        <f>IMAGE("https://lmztiles.s3.eu-west-1.amazonaws.com/Modern_Interiors_v41.3.4/1_Interiors/16x16/Theme_Sorter_Singles/16_Grocery_Store_Singles/Grocery_Store_Singles_126.png")</f>
        <v/>
      </c>
      <c r="C126" s="8" t="s">
        <v>3205</v>
      </c>
    </row>
    <row r="127" ht="36.0" customHeight="1">
      <c r="A127" s="16" t="s">
        <v>3206</v>
      </c>
      <c r="B127" s="16" t="str">
        <f>IMAGE("https://lmztiles.s3.eu-west-1.amazonaws.com/Modern_Interiors_v41.3.4/1_Interiors/16x16/Theme_Sorter_Singles/16_Grocery_Store_Singles/Grocery_Store_Singles_127.png")</f>
        <v/>
      </c>
      <c r="C127" s="8" t="s">
        <v>3207</v>
      </c>
    </row>
    <row r="128" ht="36.0" customHeight="1">
      <c r="A128" s="16" t="s">
        <v>3208</v>
      </c>
      <c r="B128" s="16" t="str">
        <f>IMAGE("https://lmztiles.s3.eu-west-1.amazonaws.com/Modern_Interiors_v41.3.4/1_Interiors/16x16/Theme_Sorter_Singles/16_Grocery_Store_Singles/Grocery_Store_Singles_128.png")</f>
        <v/>
      </c>
      <c r="C128" s="8" t="s">
        <v>3205</v>
      </c>
    </row>
    <row r="129" ht="36.0" customHeight="1">
      <c r="A129" s="16" t="s">
        <v>3209</v>
      </c>
      <c r="B129" s="16" t="str">
        <f>IMAGE("https://lmztiles.s3.eu-west-1.amazonaws.com/Modern_Interiors_v41.3.4/1_Interiors/16x16/Theme_Sorter_Singles/16_Grocery_Store_Singles/Grocery_Store_Singles_129.png")</f>
        <v/>
      </c>
      <c r="C129" s="8" t="s">
        <v>3205</v>
      </c>
    </row>
    <row r="130" ht="36.0" customHeight="1">
      <c r="A130" s="16" t="s">
        <v>3210</v>
      </c>
      <c r="B130" s="16" t="str">
        <f>IMAGE("https://lmztiles.s3.eu-west-1.amazonaws.com/Modern_Interiors_v41.3.4/1_Interiors/16x16/Theme_Sorter_Singles/16_Grocery_Store_Singles/Grocery_Store_Singles_130.png")</f>
        <v/>
      </c>
      <c r="C130" s="8" t="s">
        <v>3211</v>
      </c>
    </row>
    <row r="131" ht="36.0" customHeight="1">
      <c r="A131" s="16" t="s">
        <v>3212</v>
      </c>
      <c r="B131" s="16" t="str">
        <f>IMAGE("https://lmztiles.s3.eu-west-1.amazonaws.com/Modern_Interiors_v41.3.4/1_Interiors/16x16/Theme_Sorter_Singles/16_Grocery_Store_Singles/Grocery_Store_Singles_131.png")</f>
        <v/>
      </c>
      <c r="C131" s="8" t="s">
        <v>3201</v>
      </c>
    </row>
    <row r="132" ht="36.0" customHeight="1">
      <c r="A132" s="16" t="s">
        <v>3213</v>
      </c>
      <c r="B132" s="16" t="str">
        <f>IMAGE("https://lmztiles.s3.eu-west-1.amazonaws.com/Modern_Interiors_v41.3.4/1_Interiors/16x16/Theme_Sorter_Singles/16_Grocery_Store_Singles/Grocery_Store_Singles_132.png")</f>
        <v/>
      </c>
      <c r="C132" s="8" t="s">
        <v>3203</v>
      </c>
    </row>
    <row r="133" ht="36.0" customHeight="1">
      <c r="A133" s="16" t="s">
        <v>3214</v>
      </c>
      <c r="B133" s="16" t="str">
        <f>IMAGE("https://lmztiles.s3.eu-west-1.amazonaws.com/Modern_Interiors_v41.3.4/1_Interiors/16x16/Theme_Sorter_Singles/16_Grocery_Store_Singles/Grocery_Store_Singles_133.png")</f>
        <v/>
      </c>
      <c r="C133" s="8" t="s">
        <v>3205</v>
      </c>
    </row>
    <row r="134" ht="36.0" customHeight="1">
      <c r="A134" s="16" t="s">
        <v>3215</v>
      </c>
      <c r="B134" s="16" t="str">
        <f>IMAGE("https://lmztiles.s3.eu-west-1.amazonaws.com/Modern_Interiors_v41.3.4/1_Interiors/16x16/Theme_Sorter_Singles/16_Grocery_Store_Singles/Grocery_Store_Singles_134.png")</f>
        <v/>
      </c>
      <c r="C134" s="8" t="s">
        <v>3207</v>
      </c>
    </row>
    <row r="135" ht="36.0" customHeight="1">
      <c r="A135" s="16" t="s">
        <v>3216</v>
      </c>
      <c r="B135" s="16" t="str">
        <f>IMAGE("https://lmztiles.s3.eu-west-1.amazonaws.com/Modern_Interiors_v41.3.4/1_Interiors/16x16/Theme_Sorter_Singles/16_Grocery_Store_Singles/Grocery_Store_Singles_135.png")</f>
        <v/>
      </c>
      <c r="C135" s="8" t="s">
        <v>3205</v>
      </c>
    </row>
    <row r="136" ht="36.0" customHeight="1">
      <c r="A136" s="16" t="s">
        <v>3217</v>
      </c>
      <c r="B136" s="16" t="str">
        <f>IMAGE("https://lmztiles.s3.eu-west-1.amazonaws.com/Modern_Interiors_v41.3.4/1_Interiors/16x16/Theme_Sorter_Singles/16_Grocery_Store_Singles/Grocery_Store_Singles_136.png")</f>
        <v/>
      </c>
      <c r="C136" s="8" t="s">
        <v>3205</v>
      </c>
    </row>
    <row r="137" ht="36.0" customHeight="1">
      <c r="A137" s="16" t="s">
        <v>3218</v>
      </c>
      <c r="B137" s="16" t="str">
        <f>IMAGE("https://lmztiles.s3.eu-west-1.amazonaws.com/Modern_Interiors_v41.3.4/1_Interiors/16x16/Theme_Sorter_Singles/16_Grocery_Store_Singles/Grocery_Store_Singles_137.png")</f>
        <v/>
      </c>
      <c r="C137" s="8" t="s">
        <v>3211</v>
      </c>
    </row>
    <row r="138" ht="36.0" customHeight="1">
      <c r="A138" s="16" t="s">
        <v>3219</v>
      </c>
      <c r="B138" s="16" t="str">
        <f>IMAGE("https://lmztiles.s3.eu-west-1.amazonaws.com/Modern_Interiors_v41.3.4/1_Interiors/16x16/Theme_Sorter_Singles/16_Grocery_Store_Singles/Grocery_Store_Singles_138.png")</f>
        <v/>
      </c>
      <c r="C138" s="8" t="s">
        <v>3220</v>
      </c>
    </row>
    <row r="139" ht="36.0" customHeight="1">
      <c r="A139" s="16" t="s">
        <v>3221</v>
      </c>
      <c r="B139" s="16" t="str">
        <f>IMAGE("https://lmztiles.s3.eu-west-1.amazonaws.com/Modern_Interiors_v41.3.4/1_Interiors/16x16/Theme_Sorter_Singles/16_Grocery_Store_Singles/Grocery_Store_Singles_139.png")</f>
        <v/>
      </c>
      <c r="C139" s="8" t="s">
        <v>3222</v>
      </c>
    </row>
    <row r="140" ht="36.0" customHeight="1">
      <c r="A140" s="16" t="s">
        <v>3223</v>
      </c>
      <c r="B140" s="16" t="str">
        <f>IMAGE("https://lmztiles.s3.eu-west-1.amazonaws.com/Modern_Interiors_v41.3.4/1_Interiors/16x16/Theme_Sorter_Singles/16_Grocery_Store_Singles/Grocery_Store_Singles_140.png")</f>
        <v/>
      </c>
      <c r="C140" s="8" t="s">
        <v>3224</v>
      </c>
    </row>
    <row r="141" ht="36.0" customHeight="1">
      <c r="A141" s="16" t="s">
        <v>3225</v>
      </c>
      <c r="B141" s="16" t="str">
        <f>IMAGE("https://lmztiles.s3.eu-west-1.amazonaws.com/Modern_Interiors_v41.3.4/1_Interiors/16x16/Theme_Sorter_Singles/16_Grocery_Store_Singles/Grocery_Store_Singles_141.png")</f>
        <v/>
      </c>
      <c r="C141" s="8" t="s">
        <v>3226</v>
      </c>
    </row>
    <row r="142" ht="36.0" customHeight="1">
      <c r="A142" s="16" t="s">
        <v>3227</v>
      </c>
      <c r="B142" s="16" t="str">
        <f>IMAGE("https://lmztiles.s3.eu-west-1.amazonaws.com/Modern_Interiors_v41.3.4/1_Interiors/16x16/Theme_Sorter_Singles/16_Grocery_Store_Singles/Grocery_Store_Singles_142.png")</f>
        <v/>
      </c>
      <c r="C142" s="8" t="s">
        <v>3224</v>
      </c>
    </row>
    <row r="143" ht="36.0" customHeight="1">
      <c r="A143" s="16" t="s">
        <v>3228</v>
      </c>
      <c r="B143" s="16" t="str">
        <f>IMAGE("https://lmztiles.s3.eu-west-1.amazonaws.com/Modern_Interiors_v41.3.4/1_Interiors/16x16/Theme_Sorter_Singles/16_Grocery_Store_Singles/Grocery_Store_Singles_143.png")</f>
        <v/>
      </c>
      <c r="C143" s="8" t="s">
        <v>3224</v>
      </c>
    </row>
    <row r="144" ht="36.0" customHeight="1">
      <c r="A144" s="16" t="s">
        <v>3229</v>
      </c>
      <c r="B144" s="16" t="str">
        <f>IMAGE("https://lmztiles.s3.eu-west-1.amazonaws.com/Modern_Interiors_v41.3.4/1_Interiors/16x16/Theme_Sorter_Singles/16_Grocery_Store_Singles/Grocery_Store_Singles_144.png")</f>
        <v/>
      </c>
      <c r="C144" s="8" t="s">
        <v>3230</v>
      </c>
    </row>
    <row r="145" ht="36.0" customHeight="1">
      <c r="A145" s="16" t="s">
        <v>3231</v>
      </c>
      <c r="B145" s="16" t="str">
        <f>IMAGE("https://lmztiles.s3.eu-west-1.amazonaws.com/Modern_Interiors_v41.3.4/1_Interiors/16x16/Theme_Sorter_Singles/16_Grocery_Store_Singles/Grocery_Store_Singles_145.png")</f>
        <v/>
      </c>
      <c r="C145" s="8" t="s">
        <v>3232</v>
      </c>
    </row>
    <row r="146" ht="36.0" customHeight="1">
      <c r="A146" s="16" t="s">
        <v>3233</v>
      </c>
      <c r="B146" s="16" t="str">
        <f>IMAGE("https://lmztiles.s3.eu-west-1.amazonaws.com/Modern_Interiors_v41.3.4/1_Interiors/16x16/Theme_Sorter_Singles/16_Grocery_Store_Singles/Grocery_Store_Singles_146.png")</f>
        <v/>
      </c>
      <c r="C146" s="8" t="s">
        <v>3234</v>
      </c>
    </row>
    <row r="147" ht="36.0" customHeight="1">
      <c r="A147" s="16" t="s">
        <v>3235</v>
      </c>
      <c r="B147" s="16" t="str">
        <f>IMAGE("https://lmztiles.s3.eu-west-1.amazonaws.com/Modern_Interiors_v41.3.4/1_Interiors/16x16/Theme_Sorter_Singles/16_Grocery_Store_Singles/Grocery_Store_Singles_147.png")</f>
        <v/>
      </c>
      <c r="C147" s="8" t="s">
        <v>3236</v>
      </c>
    </row>
    <row r="148" ht="36.0" customHeight="1">
      <c r="A148" s="16" t="s">
        <v>3237</v>
      </c>
      <c r="B148" s="16" t="str">
        <f>IMAGE("https://lmztiles.s3.eu-west-1.amazonaws.com/Modern_Interiors_v41.3.4/1_Interiors/16x16/Theme_Sorter_Singles/16_Grocery_Store_Singles/Grocery_Store_Singles_148.png")</f>
        <v/>
      </c>
      <c r="C148" s="8" t="s">
        <v>3238</v>
      </c>
    </row>
    <row r="149" ht="36.0" customHeight="1">
      <c r="A149" s="16" t="s">
        <v>3239</v>
      </c>
      <c r="B149" s="16" t="str">
        <f>IMAGE("https://lmztiles.s3.eu-west-1.amazonaws.com/Modern_Interiors_v41.3.4/1_Interiors/16x16/Theme_Sorter_Singles/16_Grocery_Store_Singles/Grocery_Store_Singles_149.png")</f>
        <v/>
      </c>
      <c r="C149" s="8" t="s">
        <v>3236</v>
      </c>
    </row>
    <row r="150" ht="36.0" customHeight="1">
      <c r="A150" s="16" t="s">
        <v>3240</v>
      </c>
      <c r="B150" s="16" t="str">
        <f>IMAGE("https://lmztiles.s3.eu-west-1.amazonaws.com/Modern_Interiors_v41.3.4/1_Interiors/16x16/Theme_Sorter_Singles/16_Grocery_Store_Singles/Grocery_Store_Singles_150.png")</f>
        <v/>
      </c>
      <c r="C150" s="8" t="s">
        <v>3238</v>
      </c>
    </row>
    <row r="151" ht="36.0" customHeight="1">
      <c r="A151" s="16" t="s">
        <v>3241</v>
      </c>
      <c r="B151" s="16" t="str">
        <f>IMAGE("https://lmztiles.s3.eu-west-1.amazonaws.com/Modern_Interiors_v41.3.4/1_Interiors/16x16/Theme_Sorter_Singles/16_Grocery_Store_Singles/Grocery_Store_Singles_151.png")</f>
        <v/>
      </c>
      <c r="C151" s="8" t="s">
        <v>3242</v>
      </c>
    </row>
    <row r="152" ht="36.0" customHeight="1">
      <c r="A152" s="16" t="s">
        <v>3243</v>
      </c>
      <c r="B152" s="16" t="str">
        <f>IMAGE("https://lmztiles.s3.eu-west-1.amazonaws.com/Modern_Interiors_v41.3.4/1_Interiors/16x16/Theme_Sorter_Singles/16_Grocery_Store_Singles/Grocery_Store_Singles_152.png")</f>
        <v/>
      </c>
      <c r="C152" s="8" t="s">
        <v>3244</v>
      </c>
    </row>
    <row r="153" ht="36.0" customHeight="1">
      <c r="A153" s="16" t="s">
        <v>3245</v>
      </c>
      <c r="B153" s="16" t="str">
        <f>IMAGE("https://lmztiles.s3.eu-west-1.amazonaws.com/Modern_Interiors_v41.3.4/1_Interiors/16x16/Theme_Sorter_Singles/16_Grocery_Store_Singles/Grocery_Store_Singles_153.png")</f>
        <v/>
      </c>
      <c r="C153" s="8" t="s">
        <v>3246</v>
      </c>
    </row>
    <row r="154" ht="36.0" customHeight="1">
      <c r="A154" s="16" t="s">
        <v>3247</v>
      </c>
      <c r="B154" s="16" t="str">
        <f>IMAGE("https://lmztiles.s3.eu-west-1.amazonaws.com/Modern_Interiors_v41.3.4/1_Interiors/16x16/Theme_Sorter_Singles/16_Grocery_Store_Singles/Grocery_Store_Singles_154.png")</f>
        <v/>
      </c>
      <c r="C154" s="8" t="s">
        <v>3248</v>
      </c>
    </row>
    <row r="155" ht="36.0" customHeight="1">
      <c r="A155" s="16" t="s">
        <v>3249</v>
      </c>
      <c r="B155" s="16" t="str">
        <f>IMAGE("https://lmztiles.s3.eu-west-1.amazonaws.com/Modern_Interiors_v41.3.4/1_Interiors/16x16/Theme_Sorter_Singles/16_Grocery_Store_Singles/Grocery_Store_Singles_155.png")</f>
        <v/>
      </c>
      <c r="C155" s="8" t="s">
        <v>3250</v>
      </c>
    </row>
    <row r="156" ht="36.0" customHeight="1">
      <c r="A156" s="16" t="s">
        <v>3251</v>
      </c>
      <c r="B156" s="16" t="str">
        <f>IMAGE("https://lmztiles.s3.eu-west-1.amazonaws.com/Modern_Interiors_v41.3.4/1_Interiors/16x16/Theme_Sorter_Singles/16_Grocery_Store_Singles/Grocery_Store_Singles_156.png")</f>
        <v/>
      </c>
      <c r="C156" s="8" t="s">
        <v>3252</v>
      </c>
    </row>
    <row r="157" ht="36.0" customHeight="1">
      <c r="A157" s="16" t="s">
        <v>3253</v>
      </c>
      <c r="B157" s="16" t="str">
        <f>IMAGE("https://lmztiles.s3.eu-west-1.amazonaws.com/Modern_Interiors_v41.3.4/1_Interiors/16x16/Theme_Sorter_Singles/16_Grocery_Store_Singles/Grocery_Store_Singles_157.png")</f>
        <v/>
      </c>
      <c r="C157" s="8" t="s">
        <v>3254</v>
      </c>
    </row>
    <row r="158" ht="36.0" customHeight="1">
      <c r="A158" s="16" t="s">
        <v>3255</v>
      </c>
      <c r="B158" s="16" t="str">
        <f>IMAGE("https://lmztiles.s3.eu-west-1.amazonaws.com/Modern_Interiors_v41.3.4/1_Interiors/16x16/Theme_Sorter_Singles/16_Grocery_Store_Singles/Grocery_Store_Singles_158.png")</f>
        <v/>
      </c>
      <c r="C158" s="8" t="s">
        <v>3256</v>
      </c>
    </row>
    <row r="159" ht="36.0" customHeight="1">
      <c r="A159" s="16" t="s">
        <v>3257</v>
      </c>
      <c r="B159" s="16" t="str">
        <f>IMAGE("https://lmztiles.s3.eu-west-1.amazonaws.com/Modern_Interiors_v41.3.4/1_Interiors/16x16/Theme_Sorter_Singles/16_Grocery_Store_Singles/Grocery_Store_Singles_159.png")</f>
        <v/>
      </c>
      <c r="C159" s="8" t="s">
        <v>3256</v>
      </c>
    </row>
    <row r="160" ht="36.0" customHeight="1">
      <c r="A160" s="16" t="s">
        <v>3258</v>
      </c>
      <c r="B160" s="16" t="str">
        <f>IMAGE("https://lmztiles.s3.eu-west-1.amazonaws.com/Modern_Interiors_v41.3.4/1_Interiors/16x16/Theme_Sorter_Singles/16_Grocery_Store_Singles/Grocery_Store_Singles_160.png")</f>
        <v/>
      </c>
      <c r="C160" s="8" t="s">
        <v>3256</v>
      </c>
    </row>
    <row r="161" ht="36.0" customHeight="1">
      <c r="A161" s="16" t="s">
        <v>3259</v>
      </c>
      <c r="B161" s="16" t="str">
        <f>IMAGE("https://lmztiles.s3.eu-west-1.amazonaws.com/Modern_Interiors_v41.3.4/1_Interiors/16x16/Theme_Sorter_Singles/16_Grocery_Store_Singles/Grocery_Store_Singles_161.png")</f>
        <v/>
      </c>
      <c r="C161" s="8" t="s">
        <v>3260</v>
      </c>
    </row>
    <row r="162" ht="36.0" customHeight="1">
      <c r="A162" s="16" t="s">
        <v>3261</v>
      </c>
      <c r="B162" s="16" t="str">
        <f>IMAGE("https://lmztiles.s3.eu-west-1.amazonaws.com/Modern_Interiors_v41.3.4/1_Interiors/16x16/Theme_Sorter_Singles/16_Grocery_Store_Singles/Grocery_Store_Singles_162.png")</f>
        <v/>
      </c>
      <c r="C162" s="8" t="s">
        <v>3260</v>
      </c>
    </row>
    <row r="163" ht="36.0" customHeight="1">
      <c r="A163" s="16" t="s">
        <v>3262</v>
      </c>
      <c r="B163" s="16" t="str">
        <f>IMAGE("https://lmztiles.s3.eu-west-1.amazonaws.com/Modern_Interiors_v41.3.4/1_Interiors/16x16/Theme_Sorter_Singles/16_Grocery_Store_Singles/Grocery_Store_Singles_163.png")</f>
        <v/>
      </c>
      <c r="C163" s="8" t="s">
        <v>3260</v>
      </c>
    </row>
    <row r="164" ht="36.0" customHeight="1">
      <c r="A164" s="16" t="s">
        <v>3263</v>
      </c>
      <c r="B164" s="16" t="str">
        <f>IMAGE("https://lmztiles.s3.eu-west-1.amazonaws.com/Modern_Interiors_v41.3.4/1_Interiors/16x16/Theme_Sorter_Singles/16_Grocery_Store_Singles/Grocery_Store_Singles_164.png")</f>
        <v/>
      </c>
      <c r="C164" s="8" t="s">
        <v>3264</v>
      </c>
    </row>
    <row r="165" ht="36.0" customHeight="1">
      <c r="A165" s="16" t="s">
        <v>3265</v>
      </c>
      <c r="B165" s="16" t="str">
        <f>IMAGE("https://lmztiles.s3.eu-west-1.amazonaws.com/Modern_Interiors_v41.3.4/1_Interiors/16x16/Theme_Sorter_Singles/16_Grocery_Store_Singles/Grocery_Store_Singles_165.png")</f>
        <v/>
      </c>
      <c r="C165" s="8" t="s">
        <v>3264</v>
      </c>
    </row>
    <row r="166" ht="36.0" customHeight="1">
      <c r="A166" s="16" t="s">
        <v>3266</v>
      </c>
      <c r="B166" s="16" t="str">
        <f>IMAGE("https://lmztiles.s3.eu-west-1.amazonaws.com/Modern_Interiors_v41.3.4/1_Interiors/16x16/Theme_Sorter_Singles/16_Grocery_Store_Singles/Grocery_Store_Singles_166.png")</f>
        <v/>
      </c>
      <c r="C166" s="8" t="s">
        <v>3264</v>
      </c>
    </row>
    <row r="167" ht="36.0" customHeight="1">
      <c r="A167" s="16" t="s">
        <v>3267</v>
      </c>
      <c r="B167" s="16" t="str">
        <f>IMAGE("https://lmztiles.s3.eu-west-1.amazonaws.com/Modern_Interiors_v41.3.4/1_Interiors/16x16/Theme_Sorter_Singles/16_Grocery_Store_Singles/Grocery_Store_Singles_167.png")</f>
        <v/>
      </c>
      <c r="C167" s="8" t="s">
        <v>3268</v>
      </c>
    </row>
    <row r="168" ht="36.0" customHeight="1">
      <c r="A168" s="16" t="s">
        <v>3269</v>
      </c>
      <c r="B168" s="16" t="str">
        <f>IMAGE("https://lmztiles.s3.eu-west-1.amazonaws.com/Modern_Interiors_v41.3.4/1_Interiors/16x16/Theme_Sorter_Singles/16_Grocery_Store_Singles/Grocery_Store_Singles_168.png")</f>
        <v/>
      </c>
      <c r="C168" s="8" t="s">
        <v>3268</v>
      </c>
    </row>
    <row r="169" ht="36.0" customHeight="1">
      <c r="A169" s="16" t="s">
        <v>3270</v>
      </c>
      <c r="B169" s="16" t="str">
        <f>IMAGE("https://lmztiles.s3.eu-west-1.amazonaws.com/Modern_Interiors_v41.3.4/1_Interiors/16x16/Theme_Sorter_Singles/16_Grocery_Store_Singles/Grocery_Store_Singles_169.png")</f>
        <v/>
      </c>
      <c r="C169" s="8" t="s">
        <v>3268</v>
      </c>
    </row>
    <row r="170" ht="36.0" customHeight="1">
      <c r="A170" s="16" t="s">
        <v>3271</v>
      </c>
      <c r="B170" s="16" t="str">
        <f>IMAGE("https://lmztiles.s3.eu-west-1.amazonaws.com/Modern_Interiors_v41.3.4/1_Interiors/16x16/Theme_Sorter_Singles/16_Grocery_Store_Singles/Grocery_Store_Singles_170.png")</f>
        <v/>
      </c>
      <c r="C170" s="8" t="s">
        <v>3272</v>
      </c>
    </row>
    <row r="171" ht="36.0" customHeight="1">
      <c r="A171" s="16" t="s">
        <v>3273</v>
      </c>
      <c r="B171" s="16" t="str">
        <f>IMAGE("https://lmztiles.s3.eu-west-1.amazonaws.com/Modern_Interiors_v41.3.4/1_Interiors/16x16/Theme_Sorter_Singles/16_Grocery_Store_Singles/Grocery_Store_Singles_171.png")</f>
        <v/>
      </c>
      <c r="C171" s="8" t="s">
        <v>3274</v>
      </c>
    </row>
    <row r="172" ht="36.0" customHeight="1">
      <c r="A172" s="16" t="s">
        <v>3275</v>
      </c>
      <c r="B172" s="16" t="str">
        <f>IMAGE("https://lmztiles.s3.eu-west-1.amazonaws.com/Modern_Interiors_v41.3.4/1_Interiors/16x16/Theme_Sorter_Singles/16_Grocery_Store_Singles/Grocery_Store_Singles_172.png")</f>
        <v/>
      </c>
      <c r="C172" s="8" t="s">
        <v>3276</v>
      </c>
    </row>
    <row r="173" ht="36.0" customHeight="1">
      <c r="A173" s="16" t="s">
        <v>3277</v>
      </c>
      <c r="B173" s="16" t="str">
        <f>IMAGE("https://lmztiles.s3.eu-west-1.amazonaws.com/Modern_Interiors_v41.3.4/1_Interiors/16x16/Theme_Sorter_Singles/16_Grocery_Store_Singles/Grocery_Store_Singles_173.png")</f>
        <v/>
      </c>
      <c r="C173" s="8" t="s">
        <v>3272</v>
      </c>
    </row>
    <row r="174" ht="36.0" customHeight="1">
      <c r="A174" s="16" t="s">
        <v>3278</v>
      </c>
      <c r="B174" s="16" t="str">
        <f>IMAGE("https://lmztiles.s3.eu-west-1.amazonaws.com/Modern_Interiors_v41.3.4/1_Interiors/16x16/Theme_Sorter_Singles/16_Grocery_Store_Singles/Grocery_Store_Singles_174.png")</f>
        <v/>
      </c>
      <c r="C174" s="8" t="s">
        <v>3272</v>
      </c>
    </row>
    <row r="175" ht="36.0" customHeight="1">
      <c r="A175" s="16" t="s">
        <v>3279</v>
      </c>
      <c r="B175" s="16" t="str">
        <f>IMAGE("https://lmztiles.s3.eu-west-1.amazonaws.com/Modern_Interiors_v41.3.4/1_Interiors/16x16/Theme_Sorter_Singles/16_Grocery_Store_Singles/Grocery_Store_Singles_175.png")</f>
        <v/>
      </c>
      <c r="C175" s="8" t="s">
        <v>3272</v>
      </c>
    </row>
    <row r="176" ht="36.0" customHeight="1">
      <c r="A176" s="16" t="s">
        <v>3280</v>
      </c>
      <c r="B176" s="16" t="str">
        <f>IMAGE("https://lmztiles.s3.eu-west-1.amazonaws.com/Modern_Interiors_v41.3.4/1_Interiors/16x16/Theme_Sorter_Singles/16_Grocery_Store_Singles/Grocery_Store_Singles_176.png")</f>
        <v/>
      </c>
    </row>
    <row r="177" ht="36.0" customHeight="1">
      <c r="A177" s="16" t="s">
        <v>3281</v>
      </c>
      <c r="B177" s="16" t="str">
        <f>IMAGE("https://lmztiles.s3.eu-west-1.amazonaws.com/Modern_Interiors_v41.3.4/1_Interiors/16x16/Theme_Sorter_Singles/16_Grocery_Store_Singles/Grocery_Store_Singles_177.png")</f>
        <v/>
      </c>
    </row>
    <row r="178" ht="36.0" customHeight="1">
      <c r="A178" s="16" t="s">
        <v>3282</v>
      </c>
      <c r="B178" s="16" t="str">
        <f>IMAGE("https://lmztiles.s3.eu-west-1.amazonaws.com/Modern_Interiors_v41.3.4/1_Interiors/16x16/Theme_Sorter_Singles/16_Grocery_Store_Singles/Grocery_Store_Singles_178.png")</f>
        <v/>
      </c>
    </row>
    <row r="179" ht="36.0" customHeight="1">
      <c r="A179" s="16" t="s">
        <v>3283</v>
      </c>
      <c r="B179" s="16" t="str">
        <f>IMAGE("https://lmztiles.s3.eu-west-1.amazonaws.com/Modern_Interiors_v41.3.4/1_Interiors/16x16/Theme_Sorter_Singles/16_Grocery_Store_Singles/Grocery_Store_Singles_179.png")</f>
        <v/>
      </c>
    </row>
    <row r="180" ht="36.0" customHeight="1">
      <c r="A180" s="16" t="s">
        <v>3284</v>
      </c>
      <c r="B180" s="16" t="str">
        <f>IMAGE("https://lmztiles.s3.eu-west-1.amazonaws.com/Modern_Interiors_v41.3.4/1_Interiors/16x16/Theme_Sorter_Singles/16_Grocery_Store_Singles/Grocery_Store_Singles_180.png")</f>
        <v/>
      </c>
    </row>
    <row r="181" ht="36.0" customHeight="1">
      <c r="A181" s="16" t="s">
        <v>3285</v>
      </c>
      <c r="B181" s="16" t="str">
        <f>IMAGE("https://lmztiles.s3.eu-west-1.amazonaws.com/Modern_Interiors_v41.3.4/1_Interiors/16x16/Theme_Sorter_Singles/16_Grocery_Store_Singles/Grocery_Store_Singles_181.png")</f>
        <v/>
      </c>
    </row>
    <row r="182" ht="36.0" customHeight="1">
      <c r="A182" s="16" t="s">
        <v>3286</v>
      </c>
      <c r="B182" s="16" t="str">
        <f>IMAGE("https://lmztiles.s3.eu-west-1.amazonaws.com/Modern_Interiors_v41.3.4/1_Interiors/16x16/Theme_Sorter_Singles/16_Grocery_Store_Singles/Grocery_Store_Singles_182.png")</f>
        <v/>
      </c>
    </row>
    <row r="183" ht="36.0" customHeight="1">
      <c r="A183" s="16" t="s">
        <v>3287</v>
      </c>
      <c r="B183" s="16" t="str">
        <f>IMAGE("https://lmztiles.s3.eu-west-1.amazonaws.com/Modern_Interiors_v41.3.4/1_Interiors/16x16/Theme_Sorter_Singles/16_Grocery_Store_Singles/Grocery_Store_Singles_183.png")</f>
        <v/>
      </c>
    </row>
    <row r="184" ht="36.0" customHeight="1">
      <c r="A184" s="16" t="s">
        <v>3288</v>
      </c>
      <c r="B184" s="16" t="str">
        <f>IMAGE("https://lmztiles.s3.eu-west-1.amazonaws.com/Modern_Interiors_v41.3.4/1_Interiors/16x16/Theme_Sorter_Singles/16_Grocery_Store_Singles/Grocery_Store_Singles_184.png")</f>
        <v/>
      </c>
    </row>
    <row r="185" ht="36.0" customHeight="1">
      <c r="A185" s="16" t="s">
        <v>3289</v>
      </c>
      <c r="B185" s="16" t="str">
        <f>IMAGE("https://lmztiles.s3.eu-west-1.amazonaws.com/Modern_Interiors_v41.3.4/1_Interiors/16x16/Theme_Sorter_Singles/16_Grocery_Store_Singles/Grocery_Store_Singles_185.png")</f>
        <v/>
      </c>
    </row>
    <row r="186" ht="36.0" customHeight="1">
      <c r="A186" s="16" t="s">
        <v>3290</v>
      </c>
      <c r="B186" s="16" t="str">
        <f>IMAGE("https://lmztiles.s3.eu-west-1.amazonaws.com/Modern_Interiors_v41.3.4/1_Interiors/16x16/Theme_Sorter_Singles/16_Grocery_Store_Singles/Grocery_Store_Singles_186.png")</f>
        <v/>
      </c>
    </row>
    <row r="187" ht="36.0" customHeight="1">
      <c r="A187" s="16" t="s">
        <v>3291</v>
      </c>
      <c r="B187" s="16" t="str">
        <f>IMAGE("https://lmztiles.s3.eu-west-1.amazonaws.com/Modern_Interiors_v41.3.4/1_Interiors/16x16/Theme_Sorter_Singles/16_Grocery_Store_Singles/Grocery_Store_Singles_187.png")</f>
        <v/>
      </c>
    </row>
    <row r="188" ht="36.0" customHeight="1">
      <c r="A188" s="16" t="s">
        <v>3292</v>
      </c>
      <c r="B188" s="16" t="str">
        <f>IMAGE("https://lmztiles.s3.eu-west-1.amazonaws.com/Modern_Interiors_v41.3.4/1_Interiors/16x16/Theme_Sorter_Singles/16_Grocery_Store_Singles/Grocery_Store_Singles_188.png")</f>
        <v/>
      </c>
    </row>
    <row r="189" ht="36.0" customHeight="1">
      <c r="A189" s="16" t="s">
        <v>3293</v>
      </c>
      <c r="B189" s="16" t="str">
        <f>IMAGE("https://lmztiles.s3.eu-west-1.amazonaws.com/Modern_Interiors_v41.3.4/1_Interiors/16x16/Theme_Sorter_Singles/16_Grocery_Store_Singles/Grocery_Store_Singles_189.png")</f>
        <v/>
      </c>
    </row>
    <row r="190" ht="36.0" customHeight="1">
      <c r="A190" s="16" t="s">
        <v>3294</v>
      </c>
      <c r="B190" s="16" t="str">
        <f>IMAGE("https://lmztiles.s3.eu-west-1.amazonaws.com/Modern_Interiors_v41.3.4/1_Interiors/16x16/Theme_Sorter_Singles/16_Grocery_Store_Singles/Grocery_Store_Singles_190.png")</f>
        <v/>
      </c>
    </row>
    <row r="191" ht="36.0" customHeight="1">
      <c r="A191" s="16" t="s">
        <v>3295</v>
      </c>
      <c r="B191" s="16" t="str">
        <f>IMAGE("https://lmztiles.s3.eu-west-1.amazonaws.com/Modern_Interiors_v41.3.4/1_Interiors/16x16/Theme_Sorter_Singles/16_Grocery_Store_Singles/Grocery_Store_Singles_191.png")</f>
        <v/>
      </c>
    </row>
    <row r="192" ht="36.0" customHeight="1">
      <c r="A192" s="16" t="s">
        <v>3296</v>
      </c>
      <c r="B192" s="16" t="str">
        <f>IMAGE("https://lmztiles.s3.eu-west-1.amazonaws.com/Modern_Interiors_v41.3.4/1_Interiors/16x16/Theme_Sorter_Singles/16_Grocery_Store_Singles/Grocery_Store_Singles_192.png")</f>
        <v/>
      </c>
    </row>
    <row r="193" ht="36.0" customHeight="1">
      <c r="A193" s="16" t="s">
        <v>3297</v>
      </c>
      <c r="B193" s="16" t="str">
        <f>IMAGE("https://lmztiles.s3.eu-west-1.amazonaws.com/Modern_Interiors_v41.3.4/1_Interiors/16x16/Theme_Sorter_Singles/16_Grocery_Store_Singles/Grocery_Store_Singles_193.png")</f>
        <v/>
      </c>
    </row>
    <row r="194" ht="36.0" customHeight="1">
      <c r="A194" s="16" t="s">
        <v>3298</v>
      </c>
      <c r="B194" s="16" t="str">
        <f>IMAGE("https://lmztiles.s3.eu-west-1.amazonaws.com/Modern_Interiors_v41.3.4/1_Interiors/16x16/Theme_Sorter_Singles/16_Grocery_Store_Singles/Grocery_Store_Singles_194.png")</f>
        <v/>
      </c>
    </row>
    <row r="195" ht="36.0" customHeight="1">
      <c r="A195" s="16" t="s">
        <v>3299</v>
      </c>
      <c r="B195" s="16" t="str">
        <f>IMAGE("https://lmztiles.s3.eu-west-1.amazonaws.com/Modern_Interiors_v41.3.4/1_Interiors/16x16/Theme_Sorter_Singles/16_Grocery_Store_Singles/Grocery_Store_Singles_195.png")</f>
        <v/>
      </c>
    </row>
    <row r="196" ht="36.0" customHeight="1">
      <c r="A196" s="16" t="s">
        <v>3300</v>
      </c>
      <c r="B196" s="16" t="str">
        <f>IMAGE("https://lmztiles.s3.eu-west-1.amazonaws.com/Modern_Interiors_v41.3.4/1_Interiors/16x16/Theme_Sorter_Singles/16_Grocery_Store_Singles/Grocery_Store_Singles_196.png")</f>
        <v/>
      </c>
    </row>
    <row r="197" ht="36.0" customHeight="1">
      <c r="A197" s="16" t="s">
        <v>3301</v>
      </c>
      <c r="B197" s="16" t="str">
        <f>IMAGE("https://lmztiles.s3.eu-west-1.amazonaws.com/Modern_Interiors_v41.3.4/1_Interiors/16x16/Theme_Sorter_Singles/16_Grocery_Store_Singles/Grocery_Store_Singles_197.png")</f>
        <v/>
      </c>
    </row>
    <row r="198" ht="36.0" customHeight="1">
      <c r="A198" s="16" t="s">
        <v>3302</v>
      </c>
      <c r="B198" s="16" t="str">
        <f>IMAGE("https://lmztiles.s3.eu-west-1.amazonaws.com/Modern_Interiors_v41.3.4/1_Interiors/16x16/Theme_Sorter_Singles/16_Grocery_Store_Singles/Grocery_Store_Singles_198.png")</f>
        <v/>
      </c>
    </row>
    <row r="199" ht="36.0" customHeight="1">
      <c r="A199" s="16" t="s">
        <v>3303</v>
      </c>
      <c r="B199" s="16" t="str">
        <f>IMAGE("https://lmztiles.s3.eu-west-1.amazonaws.com/Modern_Interiors_v41.3.4/1_Interiors/16x16/Theme_Sorter_Singles/16_Grocery_Store_Singles/Grocery_Store_Singles_199.png")</f>
        <v/>
      </c>
    </row>
    <row r="200" ht="36.0" customHeight="1">
      <c r="A200" s="16" t="s">
        <v>3304</v>
      </c>
      <c r="B200" s="16" t="str">
        <f>IMAGE("https://lmztiles.s3.eu-west-1.amazonaws.com/Modern_Interiors_v41.3.4/1_Interiors/16x16/Theme_Sorter_Singles/16_Grocery_Store_Singles/Grocery_Store_Singles_200.png")</f>
        <v/>
      </c>
    </row>
    <row r="201" ht="36.0" customHeight="1">
      <c r="A201" s="16" t="s">
        <v>3305</v>
      </c>
      <c r="B201" s="16" t="str">
        <f>IMAGE("https://lmztiles.s3.eu-west-1.amazonaws.com/Modern_Interiors_v41.3.4/1_Interiors/16x16/Theme_Sorter_Singles/16_Grocery_Store_Singles/Grocery_Store_Singles_201.png")</f>
        <v/>
      </c>
    </row>
    <row r="202" ht="36.0" customHeight="1">
      <c r="A202" s="16" t="s">
        <v>3306</v>
      </c>
      <c r="B202" s="16" t="str">
        <f>IMAGE("https://lmztiles.s3.eu-west-1.amazonaws.com/Modern_Interiors_v41.3.4/1_Interiors/16x16/Theme_Sorter_Singles/16_Grocery_Store_Singles/Grocery_Store_Singles_202.png")</f>
        <v/>
      </c>
    </row>
    <row r="203" ht="36.0" customHeight="1">
      <c r="A203" s="16" t="s">
        <v>3307</v>
      </c>
      <c r="B203" s="16" t="str">
        <f>IMAGE("https://lmztiles.s3.eu-west-1.amazonaws.com/Modern_Interiors_v41.3.4/1_Interiors/16x16/Theme_Sorter_Singles/16_Grocery_Store_Singles/Grocery_Store_Singles_203.png")</f>
        <v/>
      </c>
    </row>
    <row r="204" ht="36.0" customHeight="1">
      <c r="A204" s="16" t="s">
        <v>3308</v>
      </c>
      <c r="B204" s="16" t="str">
        <f>IMAGE("https://lmztiles.s3.eu-west-1.amazonaws.com/Modern_Interiors_v41.3.4/1_Interiors/16x16/Theme_Sorter_Singles/16_Grocery_Store_Singles/Grocery_Store_Singles_204.png")</f>
        <v/>
      </c>
    </row>
    <row r="205" ht="36.0" customHeight="1">
      <c r="A205" s="16" t="s">
        <v>3309</v>
      </c>
      <c r="B205" s="16" t="str">
        <f>IMAGE("https://lmztiles.s3.eu-west-1.amazonaws.com/Modern_Interiors_v41.3.4/1_Interiors/16x16/Theme_Sorter_Singles/16_Grocery_Store_Singles/Grocery_Store_Singles_205.png")</f>
        <v/>
      </c>
    </row>
    <row r="206" ht="36.0" customHeight="1">
      <c r="A206" s="16" t="s">
        <v>3310</v>
      </c>
      <c r="B206" s="16" t="str">
        <f>IMAGE("https://lmztiles.s3.eu-west-1.amazonaws.com/Modern_Interiors_v41.3.4/1_Interiors/16x16/Theme_Sorter_Singles/16_Grocery_Store_Singles/Grocery_Store_Singles_206.png")</f>
        <v/>
      </c>
    </row>
    <row r="207" ht="36.0" customHeight="1">
      <c r="A207" s="16" t="s">
        <v>3311</v>
      </c>
      <c r="B207" s="16" t="str">
        <f>IMAGE("https://lmztiles.s3.eu-west-1.amazonaws.com/Modern_Interiors_v41.3.4/1_Interiors/16x16/Theme_Sorter_Singles/16_Grocery_Store_Singles/Grocery_Store_Singles_207.png")</f>
        <v/>
      </c>
    </row>
    <row r="208" ht="36.0" customHeight="1">
      <c r="A208" s="16" t="s">
        <v>3312</v>
      </c>
      <c r="B208" s="16" t="str">
        <f>IMAGE("https://lmztiles.s3.eu-west-1.amazonaws.com/Modern_Interiors_v41.3.4/1_Interiors/16x16/Theme_Sorter_Singles/16_Grocery_Store_Singles/Grocery_Store_Singles_208.png")</f>
        <v/>
      </c>
    </row>
    <row r="209" ht="36.0" customHeight="1">
      <c r="A209" s="16" t="s">
        <v>3313</v>
      </c>
      <c r="B209" s="16" t="str">
        <f>IMAGE("https://lmztiles.s3.eu-west-1.amazonaws.com/Modern_Interiors_v41.3.4/1_Interiors/16x16/Theme_Sorter_Singles/16_Grocery_Store_Singles/Grocery_Store_Singles_209.png")</f>
        <v/>
      </c>
    </row>
    <row r="210" ht="36.0" customHeight="1">
      <c r="A210" s="16" t="s">
        <v>3314</v>
      </c>
      <c r="B210" s="16" t="str">
        <f>IMAGE("https://lmztiles.s3.eu-west-1.amazonaws.com/Modern_Interiors_v41.3.4/1_Interiors/16x16/Theme_Sorter_Singles/16_Grocery_Store_Singles/Grocery_Store_Singles_210.png")</f>
        <v/>
      </c>
    </row>
    <row r="211" ht="36.0" customHeight="1">
      <c r="A211" s="16" t="s">
        <v>3315</v>
      </c>
      <c r="B211" s="16" t="str">
        <f>IMAGE("https://lmztiles.s3.eu-west-1.amazonaws.com/Modern_Interiors_v41.3.4/1_Interiors/16x16/Theme_Sorter_Singles/16_Grocery_Store_Singles/Grocery_Store_Singles_211.png")</f>
        <v/>
      </c>
    </row>
    <row r="212" ht="36.0" customHeight="1">
      <c r="A212" s="16" t="s">
        <v>3316</v>
      </c>
      <c r="B212" s="16" t="str">
        <f>IMAGE("https://lmztiles.s3.eu-west-1.amazonaws.com/Modern_Interiors_v41.3.4/1_Interiors/16x16/Theme_Sorter_Singles/16_Grocery_Store_Singles/Grocery_Store_Singles_212.png")</f>
        <v/>
      </c>
    </row>
    <row r="213" ht="36.0" customHeight="1">
      <c r="A213" s="16" t="s">
        <v>3317</v>
      </c>
      <c r="B213" s="16" t="str">
        <f>IMAGE("https://lmztiles.s3.eu-west-1.amazonaws.com/Modern_Interiors_v41.3.4/1_Interiors/16x16/Theme_Sorter_Singles/16_Grocery_Store_Singles/Grocery_Store_Singles_213.png")</f>
        <v/>
      </c>
    </row>
    <row r="214" ht="36.0" customHeight="1">
      <c r="A214" s="16" t="s">
        <v>3318</v>
      </c>
      <c r="B214" s="16" t="str">
        <f>IMAGE("https://lmztiles.s3.eu-west-1.amazonaws.com/Modern_Interiors_v41.3.4/1_Interiors/16x16/Theme_Sorter_Singles/16_Grocery_Store_Singles/Grocery_Store_Singles_214.png")</f>
        <v/>
      </c>
    </row>
    <row r="215" ht="36.0" customHeight="1">
      <c r="A215" s="16" t="s">
        <v>3319</v>
      </c>
      <c r="B215" s="16" t="str">
        <f>IMAGE("https://lmztiles.s3.eu-west-1.amazonaws.com/Modern_Interiors_v41.3.4/1_Interiors/16x16/Theme_Sorter_Singles/16_Grocery_Store_Singles/Grocery_Store_Singles_215.png")</f>
        <v/>
      </c>
    </row>
    <row r="216" ht="36.0" customHeight="1">
      <c r="A216" s="16" t="s">
        <v>3320</v>
      </c>
      <c r="B216" s="16" t="str">
        <f>IMAGE("https://lmztiles.s3.eu-west-1.amazonaws.com/Modern_Interiors_v41.3.4/1_Interiors/16x16/Theme_Sorter_Singles/16_Grocery_Store_Singles/Grocery_Store_Singles_216.png")</f>
        <v/>
      </c>
    </row>
    <row r="217" ht="36.0" customHeight="1">
      <c r="A217" s="16" t="s">
        <v>3321</v>
      </c>
      <c r="B217" s="16" t="str">
        <f>IMAGE("https://lmztiles.s3.eu-west-1.amazonaws.com/Modern_Interiors_v41.3.4/1_Interiors/16x16/Theme_Sorter_Singles/16_Grocery_Store_Singles/Grocery_Store_Singles_217.png")</f>
        <v/>
      </c>
    </row>
    <row r="218" ht="36.0" customHeight="1">
      <c r="A218" s="16" t="s">
        <v>3322</v>
      </c>
      <c r="B218" s="16" t="str">
        <f>IMAGE("https://lmztiles.s3.eu-west-1.amazonaws.com/Modern_Interiors_v41.3.4/1_Interiors/16x16/Theme_Sorter_Singles/16_Grocery_Store_Singles/Grocery_Store_Singles_218.png")</f>
        <v/>
      </c>
    </row>
    <row r="219" ht="36.0" customHeight="1">
      <c r="A219" s="16" t="s">
        <v>3323</v>
      </c>
      <c r="B219" s="16" t="str">
        <f>IMAGE("https://lmztiles.s3.eu-west-1.amazonaws.com/Modern_Interiors_v41.3.4/1_Interiors/16x16/Theme_Sorter_Singles/16_Grocery_Store_Singles/Grocery_Store_Singles_219.png")</f>
        <v/>
      </c>
    </row>
    <row r="220" ht="36.0" customHeight="1">
      <c r="A220" s="16" t="s">
        <v>3324</v>
      </c>
      <c r="B220" s="16" t="str">
        <f>IMAGE("https://lmztiles.s3.eu-west-1.amazonaws.com/Modern_Interiors_v41.3.4/1_Interiors/16x16/Theme_Sorter_Singles/16_Grocery_Store_Singles/Grocery_Store_Singles_220.png")</f>
        <v/>
      </c>
    </row>
    <row r="221" ht="36.0" customHeight="1">
      <c r="A221" s="16" t="s">
        <v>3325</v>
      </c>
      <c r="B221" s="16" t="str">
        <f>IMAGE("https://lmztiles.s3.eu-west-1.amazonaws.com/Modern_Interiors_v41.3.4/1_Interiors/16x16/Theme_Sorter_Singles/16_Grocery_Store_Singles/Grocery_Store_Singles_221.png")</f>
        <v/>
      </c>
    </row>
    <row r="222" ht="36.0" customHeight="1">
      <c r="A222" s="16" t="s">
        <v>3326</v>
      </c>
      <c r="B222" s="16" t="str">
        <f>IMAGE("https://lmztiles.s3.eu-west-1.amazonaws.com/Modern_Interiors_v41.3.4/1_Interiors/16x16/Theme_Sorter_Singles/16_Grocery_Store_Singles/Grocery_Store_Singles_222.png")</f>
        <v/>
      </c>
    </row>
    <row r="223" ht="36.0" customHeight="1">
      <c r="A223" s="16" t="s">
        <v>3327</v>
      </c>
      <c r="B223" s="16" t="str">
        <f>IMAGE("https://lmztiles.s3.eu-west-1.amazonaws.com/Modern_Interiors_v41.3.4/1_Interiors/16x16/Theme_Sorter_Singles/16_Grocery_Store_Singles/Grocery_Store_Singles_223.png")</f>
        <v/>
      </c>
    </row>
    <row r="224" ht="36.0" customHeight="1">
      <c r="A224" s="16" t="s">
        <v>3328</v>
      </c>
      <c r="B224" s="16" t="str">
        <f>IMAGE("https://lmztiles.s3.eu-west-1.amazonaws.com/Modern_Interiors_v41.3.4/1_Interiors/16x16/Theme_Sorter_Singles/16_Grocery_Store_Singles/Grocery_Store_Singles_224.png")</f>
        <v/>
      </c>
    </row>
    <row r="225" ht="36.0" customHeight="1">
      <c r="A225" s="16" t="s">
        <v>3329</v>
      </c>
      <c r="B225" s="16" t="str">
        <f>IMAGE("https://lmztiles.s3.eu-west-1.amazonaws.com/Modern_Interiors_v41.3.4/1_Interiors/16x16/Theme_Sorter_Singles/16_Grocery_Store_Singles/Grocery_Store_Singles_225.png")</f>
        <v/>
      </c>
    </row>
    <row r="226" ht="36.0" customHeight="1">
      <c r="A226" s="16" t="s">
        <v>3330</v>
      </c>
      <c r="B226" s="16" t="str">
        <f>IMAGE("https://lmztiles.s3.eu-west-1.amazonaws.com/Modern_Interiors_v41.3.4/1_Interiors/16x16/Theme_Sorter_Singles/16_Grocery_Store_Singles/Grocery_Store_Singles_226.png")</f>
        <v/>
      </c>
    </row>
    <row r="227" ht="36.0" customHeight="1">
      <c r="A227" s="16" t="s">
        <v>3331</v>
      </c>
      <c r="B227" s="16" t="str">
        <f>IMAGE("https://lmztiles.s3.eu-west-1.amazonaws.com/Modern_Interiors_v41.3.4/1_Interiors/16x16/Theme_Sorter_Singles/16_Grocery_Store_Singles/Grocery_Store_Singles_227.png")</f>
        <v/>
      </c>
    </row>
    <row r="228" ht="36.0" customHeight="1">
      <c r="A228" s="16" t="s">
        <v>3332</v>
      </c>
      <c r="B228" s="16" t="str">
        <f>IMAGE("https://lmztiles.s3.eu-west-1.amazonaws.com/Modern_Interiors_v41.3.4/1_Interiors/16x16/Theme_Sorter_Singles/16_Grocery_Store_Singles/Grocery_Store_Singles_228.png")</f>
        <v/>
      </c>
    </row>
    <row r="229" ht="36.0" customHeight="1">
      <c r="A229" s="16" t="s">
        <v>3333</v>
      </c>
      <c r="B229" s="16" t="str">
        <f>IMAGE("https://lmztiles.s3.eu-west-1.amazonaws.com/Modern_Interiors_v41.3.4/1_Interiors/16x16/Theme_Sorter_Singles/16_Grocery_Store_Singles/Grocery_Store_Singles_229.png")</f>
        <v/>
      </c>
    </row>
    <row r="230" ht="36.0" customHeight="1">
      <c r="A230" s="16" t="s">
        <v>3334</v>
      </c>
      <c r="B230" s="16" t="str">
        <f>IMAGE("https://lmztiles.s3.eu-west-1.amazonaws.com/Modern_Interiors_v41.3.4/1_Interiors/16x16/Theme_Sorter_Singles/16_Grocery_Store_Singles/Grocery_Store_Singles_230.png")</f>
        <v/>
      </c>
    </row>
    <row r="231" ht="36.0" customHeight="1">
      <c r="A231" s="16" t="s">
        <v>3335</v>
      </c>
      <c r="B231" s="16" t="str">
        <f>IMAGE("https://lmztiles.s3.eu-west-1.amazonaws.com/Modern_Interiors_v41.3.4/1_Interiors/16x16/Theme_Sorter_Singles/16_Grocery_Store_Singles/Grocery_Store_Singles_231.png")</f>
        <v/>
      </c>
    </row>
    <row r="232" ht="36.0" customHeight="1">
      <c r="A232" s="16" t="s">
        <v>3336</v>
      </c>
      <c r="B232" s="16" t="str">
        <f>IMAGE("https://lmztiles.s3.eu-west-1.amazonaws.com/Modern_Interiors_v41.3.4/1_Interiors/16x16/Theme_Sorter_Singles/16_Grocery_Store_Singles/Grocery_Store_Singles_232.png")</f>
        <v/>
      </c>
    </row>
    <row r="233" ht="36.0" customHeight="1">
      <c r="A233" s="16" t="s">
        <v>3337</v>
      </c>
      <c r="B233" s="16" t="str">
        <f>IMAGE("https://lmztiles.s3.eu-west-1.amazonaws.com/Modern_Interiors_v41.3.4/1_Interiors/16x16/Theme_Sorter_Singles/16_Grocery_Store_Singles/Grocery_Store_Singles_233.png")</f>
        <v/>
      </c>
    </row>
    <row r="234" ht="36.0" customHeight="1">
      <c r="A234" s="16" t="s">
        <v>3338</v>
      </c>
      <c r="B234" s="16" t="str">
        <f>IMAGE("https://lmztiles.s3.eu-west-1.amazonaws.com/Modern_Interiors_v41.3.4/1_Interiors/16x16/Theme_Sorter_Singles/16_Grocery_Store_Singles/Grocery_Store_Singles_234.png")</f>
        <v/>
      </c>
    </row>
    <row r="235" ht="36.0" customHeight="1">
      <c r="A235" s="16" t="s">
        <v>3339</v>
      </c>
      <c r="B235" s="16" t="str">
        <f>IMAGE("https://lmztiles.s3.eu-west-1.amazonaws.com/Modern_Interiors_v41.3.4/1_Interiors/16x16/Theme_Sorter_Singles/16_Grocery_Store_Singles/Grocery_Store_Singles_235.png")</f>
        <v/>
      </c>
    </row>
    <row r="236" ht="36.0" customHeight="1">
      <c r="A236" s="16" t="s">
        <v>3340</v>
      </c>
      <c r="B236" s="16" t="str">
        <f>IMAGE("https://lmztiles.s3.eu-west-1.amazonaws.com/Modern_Interiors_v41.3.4/1_Interiors/16x16/Theme_Sorter_Singles/16_Grocery_Store_Singles/Grocery_Store_Singles_236.png")</f>
        <v/>
      </c>
    </row>
    <row r="237" ht="36.0" customHeight="1">
      <c r="A237" s="16" t="s">
        <v>3341</v>
      </c>
      <c r="B237" s="16" t="str">
        <f>IMAGE("https://lmztiles.s3.eu-west-1.amazonaws.com/Modern_Interiors_v41.3.4/1_Interiors/16x16/Theme_Sorter_Singles/16_Grocery_Store_Singles/Grocery_Store_Singles_237.png")</f>
        <v/>
      </c>
    </row>
    <row r="238" ht="36.0" customHeight="1">
      <c r="A238" s="16" t="s">
        <v>3342</v>
      </c>
      <c r="B238" s="16" t="str">
        <f>IMAGE("https://lmztiles.s3.eu-west-1.amazonaws.com/Modern_Interiors_v41.3.4/1_Interiors/16x16/Theme_Sorter_Singles/16_Grocery_Store_Singles/Grocery_Store_Singles_238.png")</f>
        <v/>
      </c>
    </row>
    <row r="239" ht="36.0" customHeight="1">
      <c r="A239" s="16" t="s">
        <v>3343</v>
      </c>
      <c r="B239" s="16" t="str">
        <f>IMAGE("https://lmztiles.s3.eu-west-1.amazonaws.com/Modern_Interiors_v41.3.4/1_Interiors/16x16/Theme_Sorter_Singles/16_Grocery_Store_Singles/Grocery_Store_Singles_239.png")</f>
        <v/>
      </c>
    </row>
    <row r="240" ht="36.0" customHeight="1">
      <c r="A240" s="16" t="s">
        <v>3344</v>
      </c>
      <c r="B240" s="16" t="str">
        <f>IMAGE("https://lmztiles.s3.eu-west-1.amazonaws.com/Modern_Interiors_v41.3.4/1_Interiors/16x16/Theme_Sorter_Singles/16_Grocery_Store_Singles/Grocery_Store_Singles_240.png")</f>
        <v/>
      </c>
    </row>
    <row r="241" ht="36.0" customHeight="1">
      <c r="A241" s="16" t="s">
        <v>3345</v>
      </c>
      <c r="B241" s="16" t="str">
        <f>IMAGE("https://lmztiles.s3.eu-west-1.amazonaws.com/Modern_Interiors_v41.3.4/1_Interiors/16x16/Theme_Sorter_Singles/16_Grocery_Store_Singles/Grocery_Store_Singles_241.png")</f>
        <v/>
      </c>
    </row>
    <row r="242" ht="36.0" customHeight="1">
      <c r="A242" s="16" t="s">
        <v>3346</v>
      </c>
      <c r="B242" s="16" t="str">
        <f>IMAGE("https://lmztiles.s3.eu-west-1.amazonaws.com/Modern_Interiors_v41.3.4/1_Interiors/16x16/Theme_Sorter_Singles/16_Grocery_Store_Singles/Grocery_Store_Singles_242.png")</f>
        <v/>
      </c>
    </row>
    <row r="243" ht="36.0" customHeight="1">
      <c r="A243" s="16" t="s">
        <v>3347</v>
      </c>
      <c r="B243" s="16" t="str">
        <f>IMAGE("https://lmztiles.s3.eu-west-1.amazonaws.com/Modern_Interiors_v41.3.4/1_Interiors/16x16/Theme_Sorter_Singles/16_Grocery_Store_Singles/Grocery_Store_Singles_243.png")</f>
        <v/>
      </c>
    </row>
    <row r="244" ht="36.0" customHeight="1">
      <c r="A244" s="16" t="s">
        <v>3348</v>
      </c>
      <c r="B244" s="16" t="str">
        <f>IMAGE("https://lmztiles.s3.eu-west-1.amazonaws.com/Modern_Interiors_v41.3.4/1_Interiors/16x16/Theme_Sorter_Singles/16_Grocery_Store_Singles/Grocery_Store_Singles_244.png")</f>
        <v/>
      </c>
    </row>
    <row r="245" ht="36.0" customHeight="1">
      <c r="A245" s="16" t="s">
        <v>3349</v>
      </c>
      <c r="B245" s="16" t="str">
        <f>IMAGE("https://lmztiles.s3.eu-west-1.amazonaws.com/Modern_Interiors_v41.3.4/1_Interiors/16x16/Theme_Sorter_Singles/16_Grocery_Store_Singles/Grocery_Store_Singles_245.png")</f>
        <v/>
      </c>
    </row>
    <row r="246" ht="36.0" customHeight="1">
      <c r="A246" s="16" t="s">
        <v>3350</v>
      </c>
      <c r="B246" s="16" t="str">
        <f>IMAGE("https://lmztiles.s3.eu-west-1.amazonaws.com/Modern_Interiors_v41.3.4/1_Interiors/16x16/Theme_Sorter_Singles/16_Grocery_Store_Singles/Grocery_Store_Singles_246.png")</f>
        <v/>
      </c>
    </row>
    <row r="247" ht="36.0" customHeight="1">
      <c r="A247" s="16" t="s">
        <v>3351</v>
      </c>
      <c r="B247" s="16" t="str">
        <f>IMAGE("https://lmztiles.s3.eu-west-1.amazonaws.com/Modern_Interiors_v41.3.4/1_Interiors/16x16/Theme_Sorter_Singles/16_Grocery_Store_Singles/Grocery_Store_Singles_247.png")</f>
        <v/>
      </c>
    </row>
    <row r="248" ht="36.0" customHeight="1">
      <c r="A248" s="16" t="s">
        <v>3352</v>
      </c>
      <c r="B248" s="16" t="str">
        <f>IMAGE("https://lmztiles.s3.eu-west-1.amazonaws.com/Modern_Interiors_v41.3.4/1_Interiors/16x16/Theme_Sorter_Singles/16_Grocery_Store_Singles/Grocery_Store_Singles_248.png")</f>
        <v/>
      </c>
    </row>
    <row r="249" ht="36.0" customHeight="1">
      <c r="A249" s="16" t="s">
        <v>3353</v>
      </c>
      <c r="B249" s="16" t="str">
        <f>IMAGE("https://lmztiles.s3.eu-west-1.amazonaws.com/Modern_Interiors_v41.3.4/1_Interiors/16x16/Theme_Sorter_Singles/16_Grocery_Store_Singles/Grocery_Store_Singles_249.png")</f>
        <v/>
      </c>
    </row>
    <row r="250" ht="36.0" customHeight="1">
      <c r="A250" s="16" t="s">
        <v>3354</v>
      </c>
      <c r="B250" s="16" t="str">
        <f>IMAGE("https://lmztiles.s3.eu-west-1.amazonaws.com/Modern_Interiors_v41.3.4/1_Interiors/16x16/Theme_Sorter_Singles/16_Grocery_Store_Singles/Grocery_Store_Singles_250.png")</f>
        <v/>
      </c>
    </row>
    <row r="251" ht="36.0" customHeight="1">
      <c r="A251" s="16" t="s">
        <v>3355</v>
      </c>
      <c r="B251" s="16" t="str">
        <f>IMAGE("https://lmztiles.s3.eu-west-1.amazonaws.com/Modern_Interiors_v41.3.4/1_Interiors/16x16/Theme_Sorter_Singles/16_Grocery_Store_Singles/Grocery_Store_Singles_251.png")</f>
        <v/>
      </c>
    </row>
    <row r="252" ht="36.0" customHeight="1">
      <c r="A252" s="16" t="s">
        <v>3356</v>
      </c>
      <c r="B252" s="16" t="str">
        <f>IMAGE("https://lmztiles.s3.eu-west-1.amazonaws.com/Modern_Interiors_v41.3.4/1_Interiors/16x16/Theme_Sorter_Singles/16_Grocery_Store_Singles/Grocery_Store_Singles_252.png")</f>
        <v/>
      </c>
    </row>
    <row r="253" ht="36.0" customHeight="1">
      <c r="A253" s="16" t="s">
        <v>3357</v>
      </c>
      <c r="B253" s="16" t="str">
        <f>IMAGE("https://lmztiles.s3.eu-west-1.amazonaws.com/Modern_Interiors_v41.3.4/1_Interiors/16x16/Theme_Sorter_Singles/16_Grocery_Store_Singles/Grocery_Store_Singles_253.png")</f>
        <v/>
      </c>
    </row>
    <row r="254" ht="36.0" customHeight="1">
      <c r="A254" s="16" t="s">
        <v>3358</v>
      </c>
      <c r="B254" s="16" t="str">
        <f>IMAGE("https://lmztiles.s3.eu-west-1.amazonaws.com/Modern_Interiors_v41.3.4/1_Interiors/16x16/Theme_Sorter_Singles/16_Grocery_Store_Singles/Grocery_Store_Singles_254.png")</f>
        <v/>
      </c>
    </row>
    <row r="255" ht="36.0" customHeight="1">
      <c r="A255" s="16" t="s">
        <v>3359</v>
      </c>
      <c r="B255" s="16" t="str">
        <f>IMAGE("https://lmztiles.s3.eu-west-1.amazonaws.com/Modern_Interiors_v41.3.4/1_Interiors/16x16/Theme_Sorter_Singles/16_Grocery_Store_Singles/Grocery_Store_Singles_255.png")</f>
        <v/>
      </c>
    </row>
    <row r="256" ht="36.0" customHeight="1">
      <c r="A256" s="16" t="s">
        <v>3360</v>
      </c>
      <c r="B256" s="16" t="str">
        <f>IMAGE("https://lmztiles.s3.eu-west-1.amazonaws.com/Modern_Interiors_v41.3.4/1_Interiors/16x16/Theme_Sorter_Singles/16_Grocery_Store_Singles/Grocery_Store_Singles_256.png")</f>
        <v/>
      </c>
    </row>
    <row r="257" ht="36.0" customHeight="1">
      <c r="A257" s="16" t="s">
        <v>3361</v>
      </c>
      <c r="B257" s="16" t="str">
        <f>IMAGE("https://lmztiles.s3.eu-west-1.amazonaws.com/Modern_Interiors_v41.3.4/1_Interiors/16x16/Theme_Sorter_Singles/16_Grocery_Store_Singles/Grocery_Store_Singles_257.png")</f>
        <v/>
      </c>
    </row>
    <row r="258" ht="36.0" customHeight="1">
      <c r="A258" s="16" t="s">
        <v>3362</v>
      </c>
      <c r="B258" s="16" t="str">
        <f>IMAGE("https://lmztiles.s3.eu-west-1.amazonaws.com/Modern_Interiors_v41.3.4/1_Interiors/16x16/Theme_Sorter_Singles/16_Grocery_Store_Singles/Grocery_Store_Singles_258.png")</f>
        <v/>
      </c>
    </row>
    <row r="259" ht="36.0" customHeight="1">
      <c r="A259" s="16" t="s">
        <v>3363</v>
      </c>
      <c r="B259" s="16" t="str">
        <f>IMAGE("https://lmztiles.s3.eu-west-1.amazonaws.com/Modern_Interiors_v41.3.4/1_Interiors/16x16/Theme_Sorter_Singles/16_Grocery_Store_Singles/Grocery_Store_Singles_259.png")</f>
        <v/>
      </c>
    </row>
    <row r="260" ht="36.0" customHeight="1">
      <c r="A260" s="16" t="s">
        <v>3364</v>
      </c>
      <c r="B260" s="16" t="str">
        <f>IMAGE("https://lmztiles.s3.eu-west-1.amazonaws.com/Modern_Interiors_v41.3.4/1_Interiors/16x16/Theme_Sorter_Singles/16_Grocery_Store_Singles/Grocery_Store_Singles_260.png")</f>
        <v/>
      </c>
    </row>
    <row r="261" ht="36.0" customHeight="1">
      <c r="A261" s="16" t="s">
        <v>3365</v>
      </c>
      <c r="B261" s="16" t="str">
        <f>IMAGE("https://lmztiles.s3.eu-west-1.amazonaws.com/Modern_Interiors_v41.3.4/1_Interiors/16x16/Theme_Sorter_Singles/16_Grocery_Store_Singles/Grocery_Store_Singles_261.png")</f>
        <v/>
      </c>
    </row>
    <row r="262" ht="36.0" customHeight="1">
      <c r="A262" s="16" t="s">
        <v>3366</v>
      </c>
      <c r="B262" s="16" t="str">
        <f>IMAGE("https://lmztiles.s3.eu-west-1.amazonaws.com/Modern_Interiors_v41.3.4/1_Interiors/16x16/Theme_Sorter_Singles/16_Grocery_Store_Singles/Grocery_Store_Singles_262.png")</f>
        <v/>
      </c>
    </row>
    <row r="263" ht="36.0" customHeight="1">
      <c r="A263" s="16" t="s">
        <v>3367</v>
      </c>
      <c r="B263" s="16" t="str">
        <f>IMAGE("https://lmztiles.s3.eu-west-1.amazonaws.com/Modern_Interiors_v41.3.4/1_Interiors/16x16/Theme_Sorter_Singles/16_Grocery_Store_Singles/Grocery_Store_Singles_263.png")</f>
        <v/>
      </c>
    </row>
    <row r="264" ht="36.0" customHeight="1">
      <c r="A264" s="16" t="s">
        <v>3368</v>
      </c>
      <c r="B264" s="16" t="str">
        <f>IMAGE("https://lmztiles.s3.eu-west-1.amazonaws.com/Modern_Interiors_v41.3.4/1_Interiors/16x16/Theme_Sorter_Singles/16_Grocery_Store_Singles/Grocery_Store_Singles_264.png")</f>
        <v/>
      </c>
    </row>
    <row r="265" ht="36.0" customHeight="1">
      <c r="A265" s="16" t="s">
        <v>3369</v>
      </c>
      <c r="B265" s="16" t="str">
        <f>IMAGE("https://lmztiles.s3.eu-west-1.amazonaws.com/Modern_Interiors_v41.3.4/1_Interiors/16x16/Theme_Sorter_Singles/16_Grocery_Store_Singles/Grocery_Store_Singles_265.png")</f>
        <v/>
      </c>
    </row>
    <row r="266" ht="36.0" customHeight="1">
      <c r="A266" s="16" t="s">
        <v>3370</v>
      </c>
      <c r="B266" s="16" t="str">
        <f>IMAGE("https://lmztiles.s3.eu-west-1.amazonaws.com/Modern_Interiors_v41.3.4/1_Interiors/16x16/Theme_Sorter_Singles/16_Grocery_Store_Singles/Grocery_Store_Singles_266.png")</f>
        <v/>
      </c>
    </row>
    <row r="267" ht="36.0" customHeight="1">
      <c r="A267" s="16" t="s">
        <v>3371</v>
      </c>
      <c r="B267" s="16" t="str">
        <f>IMAGE("https://lmztiles.s3.eu-west-1.amazonaws.com/Modern_Interiors_v41.3.4/1_Interiors/16x16/Theme_Sorter_Singles/16_Grocery_Store_Singles/Grocery_Store_Singles_267.png")</f>
        <v/>
      </c>
    </row>
    <row r="268" ht="36.0" customHeight="1">
      <c r="A268" s="16" t="s">
        <v>3372</v>
      </c>
      <c r="B268" s="16" t="str">
        <f>IMAGE("https://lmztiles.s3.eu-west-1.amazonaws.com/Modern_Interiors_v41.3.4/1_Interiors/16x16/Theme_Sorter_Singles/16_Grocery_Store_Singles/Grocery_Store_Singles_268.png")</f>
        <v/>
      </c>
    </row>
    <row r="269" ht="36.0" customHeight="1">
      <c r="A269" s="16" t="s">
        <v>3373</v>
      </c>
      <c r="B269" s="16" t="str">
        <f>IMAGE("https://lmztiles.s3.eu-west-1.amazonaws.com/Modern_Interiors_v41.3.4/1_Interiors/16x16/Theme_Sorter_Singles/16_Grocery_Store_Singles/Grocery_Store_Singles_269.png")</f>
        <v/>
      </c>
    </row>
    <row r="270" ht="36.0" customHeight="1">
      <c r="A270" s="16" t="s">
        <v>3374</v>
      </c>
      <c r="B270" s="16" t="str">
        <f>IMAGE("https://lmztiles.s3.eu-west-1.amazonaws.com/Modern_Interiors_v41.3.4/1_Interiors/16x16/Theme_Sorter_Singles/16_Grocery_Store_Singles/Grocery_Store_Singles_270.png")</f>
        <v/>
      </c>
    </row>
    <row r="271" ht="36.0" customHeight="1">
      <c r="A271" s="16" t="s">
        <v>3375</v>
      </c>
      <c r="B271" s="16" t="str">
        <f>IMAGE("https://lmztiles.s3.eu-west-1.amazonaws.com/Modern_Interiors_v41.3.4/1_Interiors/16x16/Theme_Sorter_Singles/16_Grocery_Store_Singles/Grocery_Store_Singles_271.png")</f>
        <v/>
      </c>
    </row>
    <row r="272" ht="36.0" customHeight="1">
      <c r="A272" s="16" t="s">
        <v>3376</v>
      </c>
      <c r="B272" s="16" t="str">
        <f>IMAGE("https://lmztiles.s3.eu-west-1.amazonaws.com/Modern_Interiors_v41.3.4/1_Interiors/16x16/Theme_Sorter_Singles/16_Grocery_Store_Singles/Grocery_Store_Singles_272.png")</f>
        <v/>
      </c>
    </row>
    <row r="273" ht="36.0" customHeight="1">
      <c r="A273" s="16" t="s">
        <v>3377</v>
      </c>
      <c r="B273" s="16" t="str">
        <f>IMAGE("https://lmztiles.s3.eu-west-1.amazonaws.com/Modern_Interiors_v41.3.4/1_Interiors/16x16/Theme_Sorter_Singles/16_Grocery_Store_Singles/Grocery_Store_Singles_273.png")</f>
        <v/>
      </c>
    </row>
    <row r="274" ht="36.0" customHeight="1">
      <c r="A274" s="16" t="s">
        <v>3378</v>
      </c>
      <c r="B274" s="16" t="str">
        <f>IMAGE("https://lmztiles.s3.eu-west-1.amazonaws.com/Modern_Interiors_v41.3.4/1_Interiors/16x16/Theme_Sorter_Singles/16_Grocery_Store_Singles/Grocery_Store_Singles_274.png")</f>
        <v/>
      </c>
    </row>
    <row r="275" ht="36.0" customHeight="1">
      <c r="A275" s="16" t="s">
        <v>3379</v>
      </c>
      <c r="B275" s="16" t="str">
        <f>IMAGE("https://lmztiles.s3.eu-west-1.amazonaws.com/Modern_Interiors_v41.3.4/1_Interiors/16x16/Theme_Sorter_Singles/16_Grocery_Store_Singles/Grocery_Store_Singles_275.png")</f>
        <v/>
      </c>
    </row>
    <row r="276" ht="36.0" customHeight="1">
      <c r="A276" s="16" t="s">
        <v>3380</v>
      </c>
      <c r="B276" s="16" t="str">
        <f>IMAGE("https://lmztiles.s3.eu-west-1.amazonaws.com/Modern_Interiors_v41.3.4/1_Interiors/16x16/Theme_Sorter_Singles/16_Grocery_Store_Singles/Grocery_Store_Singles_276.png")</f>
        <v/>
      </c>
    </row>
    <row r="277" ht="36.0" customHeight="1">
      <c r="A277" s="16" t="s">
        <v>3381</v>
      </c>
      <c r="B277" s="16" t="str">
        <f>IMAGE("https://lmztiles.s3.eu-west-1.amazonaws.com/Modern_Interiors_v41.3.4/1_Interiors/16x16/Theme_Sorter_Singles/16_Grocery_Store_Singles/Grocery_Store_Singles_277.png")</f>
        <v/>
      </c>
    </row>
    <row r="278" ht="36.0" customHeight="1">
      <c r="A278" s="16" t="s">
        <v>3382</v>
      </c>
      <c r="B278" s="16" t="str">
        <f>IMAGE("https://lmztiles.s3.eu-west-1.amazonaws.com/Modern_Interiors_v41.3.4/1_Interiors/16x16/Theme_Sorter_Singles/16_Grocery_Store_Singles/Grocery_Store_Singles_278.png")</f>
        <v/>
      </c>
    </row>
    <row r="279" ht="36.0" customHeight="1">
      <c r="A279" s="16" t="s">
        <v>3383</v>
      </c>
      <c r="B279" s="16" t="str">
        <f>IMAGE("https://lmztiles.s3.eu-west-1.amazonaws.com/Modern_Interiors_v41.3.4/1_Interiors/16x16/Theme_Sorter_Singles/16_Grocery_Store_Singles/Grocery_Store_Singles_279.png")</f>
        <v/>
      </c>
    </row>
    <row r="280" ht="36.0" customHeight="1">
      <c r="A280" s="16" t="s">
        <v>3384</v>
      </c>
      <c r="B280" s="16" t="str">
        <f>IMAGE("https://lmztiles.s3.eu-west-1.amazonaws.com/Modern_Interiors_v41.3.4/1_Interiors/16x16/Theme_Sorter_Singles/16_Grocery_Store_Singles/Grocery_Store_Singles_280.png")</f>
        <v/>
      </c>
    </row>
    <row r="281" ht="36.0" customHeight="1">
      <c r="A281" s="16" t="s">
        <v>3385</v>
      </c>
      <c r="B281" s="16" t="str">
        <f>IMAGE("https://lmztiles.s3.eu-west-1.amazonaws.com/Modern_Interiors_v41.3.4/1_Interiors/16x16/Theme_Sorter_Singles/16_Grocery_Store_Singles/Grocery_Store_Singles_281.png")</f>
        <v/>
      </c>
    </row>
    <row r="282" ht="36.0" customHeight="1">
      <c r="A282" s="16" t="s">
        <v>3386</v>
      </c>
      <c r="B282" s="16" t="str">
        <f>IMAGE("https://lmztiles.s3.eu-west-1.amazonaws.com/Modern_Interiors_v41.3.4/1_Interiors/16x16/Theme_Sorter_Singles/16_Grocery_Store_Singles/Grocery_Store_Singles_282.png")</f>
        <v/>
      </c>
    </row>
    <row r="283" ht="36.0" customHeight="1">
      <c r="A283" s="16" t="s">
        <v>3387</v>
      </c>
      <c r="B283" s="16" t="str">
        <f>IMAGE("https://lmztiles.s3.eu-west-1.amazonaws.com/Modern_Interiors_v41.3.4/1_Interiors/16x16/Theme_Sorter_Singles/16_Grocery_Store_Singles/Grocery_Store_Singles_283.png")</f>
        <v/>
      </c>
    </row>
    <row r="284" ht="36.0" customHeight="1">
      <c r="A284" s="16" t="s">
        <v>3388</v>
      </c>
      <c r="B284" s="16" t="str">
        <f>IMAGE("https://lmztiles.s3.eu-west-1.amazonaws.com/Modern_Interiors_v41.3.4/1_Interiors/16x16/Theme_Sorter_Singles/16_Grocery_Store_Singles/Grocery_Store_Singles_284.png")</f>
        <v/>
      </c>
    </row>
    <row r="285" ht="36.0" customHeight="1">
      <c r="A285" s="16" t="s">
        <v>3389</v>
      </c>
      <c r="B285" s="16" t="str">
        <f>IMAGE("https://lmztiles.s3.eu-west-1.amazonaws.com/Modern_Interiors_v41.3.4/1_Interiors/16x16/Theme_Sorter_Singles/16_Grocery_Store_Singles/Grocery_Store_Singles_285.png")</f>
        <v/>
      </c>
    </row>
    <row r="286" ht="36.0" customHeight="1">
      <c r="A286" s="16" t="s">
        <v>3390</v>
      </c>
      <c r="B286" s="16" t="str">
        <f>IMAGE("https://lmztiles.s3.eu-west-1.amazonaws.com/Modern_Interiors_v41.3.4/1_Interiors/16x16/Theme_Sorter_Singles/16_Grocery_Store_Singles/Grocery_Store_Singles_286.png")</f>
        <v/>
      </c>
    </row>
    <row r="287" ht="36.0" customHeight="1">
      <c r="A287" s="16" t="s">
        <v>3391</v>
      </c>
      <c r="B287" s="16" t="str">
        <f>IMAGE("https://lmztiles.s3.eu-west-1.amazonaws.com/Modern_Interiors_v41.3.4/1_Interiors/16x16/Theme_Sorter_Singles/16_Grocery_Store_Singles/Grocery_Store_Singles_287.png")</f>
        <v/>
      </c>
    </row>
    <row r="288" ht="36.0" customHeight="1">
      <c r="A288" s="16" t="s">
        <v>3392</v>
      </c>
      <c r="B288" s="16" t="str">
        <f>IMAGE("https://lmztiles.s3.eu-west-1.amazonaws.com/Modern_Interiors_v41.3.4/1_Interiors/16x16/Theme_Sorter_Singles/16_Grocery_Store_Singles/Grocery_Store_Singles_288.png")</f>
        <v/>
      </c>
    </row>
    <row r="289" ht="36.0" customHeight="1">
      <c r="A289" s="16" t="s">
        <v>3393</v>
      </c>
      <c r="B289" s="16" t="str">
        <f>IMAGE("https://lmztiles.s3.eu-west-1.amazonaws.com/Modern_Interiors_v41.3.4/1_Interiors/16x16/Theme_Sorter_Singles/16_Grocery_Store_Singles/Grocery_Store_Singles_289.png")</f>
        <v/>
      </c>
    </row>
    <row r="290" ht="36.0" customHeight="1">
      <c r="A290" s="16" t="s">
        <v>3394</v>
      </c>
      <c r="B290" s="16" t="str">
        <f>IMAGE("https://lmztiles.s3.eu-west-1.amazonaws.com/Modern_Interiors_v41.3.4/1_Interiors/16x16/Theme_Sorter_Singles/16_Grocery_Store_Singles/Grocery_Store_Singles_290.png")</f>
        <v/>
      </c>
    </row>
    <row r="291" ht="36.0" customHeight="1">
      <c r="A291" s="16" t="s">
        <v>3395</v>
      </c>
      <c r="B291" s="16" t="str">
        <f>IMAGE("https://lmztiles.s3.eu-west-1.amazonaws.com/Modern_Interiors_v41.3.4/1_Interiors/16x16/Theme_Sorter_Singles/16_Grocery_Store_Singles/Grocery_Store_Singles_291.png")</f>
        <v/>
      </c>
    </row>
    <row r="292" ht="36.0" customHeight="1">
      <c r="A292" s="16" t="s">
        <v>3396</v>
      </c>
      <c r="B292" s="16" t="str">
        <f>IMAGE("https://lmztiles.s3.eu-west-1.amazonaws.com/Modern_Interiors_v41.3.4/1_Interiors/16x16/Theme_Sorter_Singles/16_Grocery_Store_Singles/Grocery_Store_Singles_292.png")</f>
        <v/>
      </c>
    </row>
    <row r="293" ht="36.0" customHeight="1">
      <c r="A293" s="16" t="s">
        <v>3397</v>
      </c>
      <c r="B293" s="16" t="str">
        <f>IMAGE("https://lmztiles.s3.eu-west-1.amazonaws.com/Modern_Interiors_v41.3.4/1_Interiors/16x16/Theme_Sorter_Singles/16_Grocery_Store_Singles/Grocery_Store_Singles_293.png")</f>
        <v/>
      </c>
    </row>
    <row r="294" ht="36.0" customHeight="1">
      <c r="A294" s="16" t="s">
        <v>3398</v>
      </c>
      <c r="B294" s="16" t="str">
        <f>IMAGE("https://lmztiles.s3.eu-west-1.amazonaws.com/Modern_Interiors_v41.3.4/1_Interiors/16x16/Theme_Sorter_Singles/16_Grocery_Store_Singles/Grocery_Store_Singles_294.png")</f>
        <v/>
      </c>
    </row>
    <row r="295" ht="36.0" customHeight="1">
      <c r="A295" s="16" t="s">
        <v>3399</v>
      </c>
      <c r="B295" s="16" t="str">
        <f>IMAGE("https://lmztiles.s3.eu-west-1.amazonaws.com/Modern_Interiors_v41.3.4/1_Interiors/16x16/Theme_Sorter_Singles/16_Grocery_Store_Singles/Grocery_Store_Singles_295.png")</f>
        <v/>
      </c>
    </row>
    <row r="296" ht="36.0" customHeight="1">
      <c r="A296" s="16" t="s">
        <v>3400</v>
      </c>
      <c r="B296" s="16" t="str">
        <f>IMAGE("https://lmztiles.s3.eu-west-1.amazonaws.com/Modern_Interiors_v41.3.4/1_Interiors/16x16/Theme_Sorter_Singles/16_Grocery_Store_Singles/Grocery_Store_Singles_296.png")</f>
        <v/>
      </c>
    </row>
    <row r="297" ht="36.0" customHeight="1">
      <c r="A297" s="16" t="s">
        <v>3401</v>
      </c>
      <c r="B297" s="16" t="str">
        <f>IMAGE("https://lmztiles.s3.eu-west-1.amazonaws.com/Modern_Interiors_v41.3.4/1_Interiors/16x16/Theme_Sorter_Singles/16_Grocery_Store_Singles/Grocery_Store_Singles_297.png")</f>
        <v/>
      </c>
    </row>
    <row r="298" ht="36.0" customHeight="1">
      <c r="A298" s="16" t="s">
        <v>3402</v>
      </c>
      <c r="B298" s="16" t="str">
        <f>IMAGE("https://lmztiles.s3.eu-west-1.amazonaws.com/Modern_Interiors_v41.3.4/1_Interiors/16x16/Theme_Sorter_Singles/16_Grocery_Store_Singles/Grocery_Store_Singles_298.png")</f>
        <v/>
      </c>
    </row>
    <row r="299" ht="36.0" customHeight="1">
      <c r="A299" s="16" t="s">
        <v>3403</v>
      </c>
      <c r="B299" s="16" t="str">
        <f>IMAGE("https://lmztiles.s3.eu-west-1.amazonaws.com/Modern_Interiors_v41.3.4/1_Interiors/16x16/Theme_Sorter_Singles/16_Grocery_Store_Singles/Grocery_Store_Singles_299.png")</f>
        <v/>
      </c>
    </row>
    <row r="300" ht="36.0" customHeight="1">
      <c r="A300" s="16" t="s">
        <v>3404</v>
      </c>
      <c r="B300" s="16" t="str">
        <f>IMAGE("https://lmztiles.s3.eu-west-1.amazonaws.com/Modern_Interiors_v41.3.4/1_Interiors/16x16/Theme_Sorter_Singles/16_Grocery_Store_Singles/Grocery_Store_Singles_300.png")</f>
        <v/>
      </c>
    </row>
    <row r="301" ht="36.0" customHeight="1">
      <c r="A301" s="16" t="s">
        <v>3405</v>
      </c>
      <c r="B301" s="16" t="str">
        <f>IMAGE("https://lmztiles.s3.eu-west-1.amazonaws.com/Modern_Interiors_v41.3.4/1_Interiors/16x16/Theme_Sorter_Singles/16_Grocery_Store_Singles/Grocery_Store_Singles_301.png")</f>
        <v/>
      </c>
    </row>
    <row r="302" ht="36.0" customHeight="1">
      <c r="A302" s="16" t="s">
        <v>3406</v>
      </c>
      <c r="B302" s="16" t="str">
        <f>IMAGE("https://lmztiles.s3.eu-west-1.amazonaws.com/Modern_Interiors_v41.3.4/1_Interiors/16x16/Theme_Sorter_Singles/16_Grocery_Store_Singles/Grocery_Store_Singles_302.png")</f>
        <v/>
      </c>
    </row>
    <row r="303" ht="36.0" customHeight="1">
      <c r="A303" s="16" t="s">
        <v>3407</v>
      </c>
      <c r="B303" s="16" t="str">
        <f>IMAGE("https://lmztiles.s3.eu-west-1.amazonaws.com/Modern_Interiors_v41.3.4/1_Interiors/16x16/Theme_Sorter_Singles/16_Grocery_Store_Singles/Grocery_Store_Singles_303.png")</f>
        <v/>
      </c>
    </row>
    <row r="304" ht="36.0" customHeight="1">
      <c r="A304" s="16" t="s">
        <v>3408</v>
      </c>
      <c r="B304" s="16" t="str">
        <f>IMAGE("https://lmztiles.s3.eu-west-1.amazonaws.com/Modern_Interiors_v41.3.4/1_Interiors/16x16/Theme_Sorter_Singles/16_Grocery_Store_Singles/Grocery_Store_Singles_304.png")</f>
        <v/>
      </c>
    </row>
    <row r="305" ht="36.0" customHeight="1">
      <c r="A305" s="16" t="s">
        <v>3409</v>
      </c>
      <c r="B305" s="16" t="str">
        <f>IMAGE("https://lmztiles.s3.eu-west-1.amazonaws.com/Modern_Interiors_v41.3.4/1_Interiors/16x16/Theme_Sorter_Singles/16_Grocery_Store_Singles/Grocery_Store_Singles_305.png")</f>
        <v/>
      </c>
    </row>
    <row r="306" ht="36.0" customHeight="1">
      <c r="A306" s="16" t="s">
        <v>3410</v>
      </c>
      <c r="B306" s="16" t="str">
        <f>IMAGE("https://lmztiles.s3.eu-west-1.amazonaws.com/Modern_Interiors_v41.3.4/1_Interiors/16x16/Theme_Sorter_Singles/16_Grocery_Store_Singles/Grocery_Store_Singles_306.png")</f>
        <v/>
      </c>
    </row>
    <row r="307" ht="36.0" customHeight="1">
      <c r="A307" s="16" t="s">
        <v>3411</v>
      </c>
      <c r="B307" s="16" t="str">
        <f>IMAGE("https://lmztiles.s3.eu-west-1.amazonaws.com/Modern_Interiors_v41.3.4/1_Interiors/16x16/Theme_Sorter_Singles/16_Grocery_Store_Singles/Grocery_Store_Singles_307.png")</f>
        <v/>
      </c>
    </row>
    <row r="308" ht="36.0" customHeight="1">
      <c r="A308" s="16" t="s">
        <v>3412</v>
      </c>
      <c r="B308" s="16" t="str">
        <f>IMAGE("https://lmztiles.s3.eu-west-1.amazonaws.com/Modern_Interiors_v41.3.4/1_Interiors/16x16/Theme_Sorter_Singles/16_Grocery_Store_Singles/Grocery_Store_Singles_308.png")</f>
        <v/>
      </c>
    </row>
    <row r="309" ht="36.0" customHeight="1">
      <c r="A309" s="16" t="s">
        <v>3413</v>
      </c>
      <c r="B309" s="16" t="str">
        <f>IMAGE("https://lmztiles.s3.eu-west-1.amazonaws.com/Modern_Interiors_v41.3.4/1_Interiors/16x16/Theme_Sorter_Singles/16_Grocery_Store_Singles/Grocery_Store_Singles_309.png")</f>
        <v/>
      </c>
    </row>
    <row r="310" ht="36.0" customHeight="1">
      <c r="A310" s="16" t="s">
        <v>3414</v>
      </c>
      <c r="B310" s="16" t="str">
        <f>IMAGE("https://lmztiles.s3.eu-west-1.amazonaws.com/Modern_Interiors_v41.3.4/1_Interiors/16x16/Theme_Sorter_Singles/16_Grocery_Store_Singles/Grocery_Store_Singles_310.png")</f>
        <v/>
      </c>
    </row>
    <row r="311" ht="36.0" customHeight="1">
      <c r="A311" s="16" t="s">
        <v>3415</v>
      </c>
      <c r="B311" s="16" t="str">
        <f>IMAGE("https://lmztiles.s3.eu-west-1.amazonaws.com/Modern_Interiors_v41.3.4/1_Interiors/16x16/Theme_Sorter_Singles/16_Grocery_Store_Singles/Grocery_Store_Singles_311.png")</f>
        <v/>
      </c>
    </row>
    <row r="312" ht="36.0" customHeight="1">
      <c r="A312" s="16" t="s">
        <v>3416</v>
      </c>
      <c r="B312" s="16" t="str">
        <f>IMAGE("https://lmztiles.s3.eu-west-1.amazonaws.com/Modern_Interiors_v41.3.4/1_Interiors/16x16/Theme_Sorter_Singles/16_Grocery_Store_Singles/Grocery_Store_Singles_312.png")</f>
        <v/>
      </c>
    </row>
    <row r="313" ht="36.0" customHeight="1">
      <c r="A313" s="16" t="s">
        <v>3417</v>
      </c>
      <c r="B313" s="16" t="str">
        <f>IMAGE("https://lmztiles.s3.eu-west-1.amazonaws.com/Modern_Interiors_v41.3.4/1_Interiors/16x16/Theme_Sorter_Singles/16_Grocery_Store_Singles/Grocery_Store_Singles_313.png")</f>
        <v/>
      </c>
    </row>
    <row r="314" ht="36.0" customHeight="1">
      <c r="A314" s="16" t="s">
        <v>3418</v>
      </c>
      <c r="B314" s="16" t="str">
        <f>IMAGE("https://lmztiles.s3.eu-west-1.amazonaws.com/Modern_Interiors_v41.3.4/1_Interiors/16x16/Theme_Sorter_Singles/16_Grocery_Store_Singles/Grocery_Store_Singles_314.png")</f>
        <v/>
      </c>
    </row>
    <row r="315" ht="36.0" customHeight="1">
      <c r="A315" s="16" t="s">
        <v>3419</v>
      </c>
      <c r="B315" s="16" t="str">
        <f>IMAGE("https://lmztiles.s3.eu-west-1.amazonaws.com/Modern_Interiors_v41.3.4/1_Interiors/16x16/Theme_Sorter_Singles/16_Grocery_Store_Singles/Grocery_Store_Singles_315.png")</f>
        <v/>
      </c>
    </row>
    <row r="316" ht="36.0" customHeight="1">
      <c r="A316" s="16" t="s">
        <v>3420</v>
      </c>
      <c r="B316" s="16" t="str">
        <f>IMAGE("https://lmztiles.s3.eu-west-1.amazonaws.com/Modern_Interiors_v41.3.4/1_Interiors/16x16/Theme_Sorter_Singles/16_Grocery_Store_Singles/Grocery_Store_Singles_316.png")</f>
        <v/>
      </c>
    </row>
    <row r="317" ht="36.0" customHeight="1">
      <c r="A317" s="16" t="s">
        <v>3421</v>
      </c>
      <c r="B317" s="16" t="str">
        <f>IMAGE("https://lmztiles.s3.eu-west-1.amazonaws.com/Modern_Interiors_v41.3.4/1_Interiors/16x16/Theme_Sorter_Singles/16_Grocery_Store_Singles/Grocery_Store_Singles_317.png")</f>
        <v/>
      </c>
    </row>
    <row r="318" ht="36.0" customHeight="1">
      <c r="A318" s="16" t="s">
        <v>3422</v>
      </c>
      <c r="B318" s="16" t="str">
        <f>IMAGE("https://lmztiles.s3.eu-west-1.amazonaws.com/Modern_Interiors_v41.3.4/1_Interiors/16x16/Theme_Sorter_Singles/16_Grocery_Store_Singles/Grocery_Store_Singles_318.png")</f>
        <v/>
      </c>
    </row>
    <row r="319" ht="36.0" customHeight="1">
      <c r="A319" s="16" t="s">
        <v>3423</v>
      </c>
      <c r="B319" s="16" t="str">
        <f>IMAGE("https://lmztiles.s3.eu-west-1.amazonaws.com/Modern_Interiors_v41.3.4/1_Interiors/16x16/Theme_Sorter_Singles/16_Grocery_Store_Singles/Grocery_Store_Singles_319.png")</f>
        <v/>
      </c>
    </row>
    <row r="320" ht="36.0" customHeight="1">
      <c r="A320" s="16" t="s">
        <v>3424</v>
      </c>
      <c r="B320" s="16" t="str">
        <f>IMAGE("https://lmztiles.s3.eu-west-1.amazonaws.com/Modern_Interiors_v41.3.4/1_Interiors/16x16/Theme_Sorter_Singles/16_Grocery_Store_Singles/Grocery_Store_Singles_320.png")</f>
        <v/>
      </c>
    </row>
    <row r="321" ht="36.0" customHeight="1">
      <c r="A321" s="16" t="s">
        <v>3425</v>
      </c>
      <c r="B321" s="16" t="str">
        <f>IMAGE("https://lmztiles.s3.eu-west-1.amazonaws.com/Modern_Interiors_v41.3.4/1_Interiors/16x16/Theme_Sorter_Singles/16_Grocery_Store_Singles/Grocery_Store_Singles_321.png")</f>
        <v/>
      </c>
    </row>
    <row r="322" ht="36.0" customHeight="1">
      <c r="A322" s="16" t="s">
        <v>3426</v>
      </c>
      <c r="B322" s="16" t="str">
        <f>IMAGE("https://lmztiles.s3.eu-west-1.amazonaws.com/Modern_Interiors_v41.3.4/1_Interiors/16x16/Theme_Sorter_Singles/16_Grocery_Store_Singles/Grocery_Store_Singles_322.png")</f>
        <v/>
      </c>
    </row>
    <row r="323" ht="36.0" customHeight="1">
      <c r="A323" s="16" t="s">
        <v>3427</v>
      </c>
      <c r="B323" s="16" t="str">
        <f>IMAGE("https://lmztiles.s3.eu-west-1.amazonaws.com/Modern_Interiors_v41.3.4/1_Interiors/16x16/Theme_Sorter_Singles/16_Grocery_Store_Singles/Grocery_Store_Singles_323.png")</f>
        <v/>
      </c>
    </row>
    <row r="324" ht="36.0" customHeight="1">
      <c r="A324" s="16" t="s">
        <v>3428</v>
      </c>
      <c r="B324" s="16" t="str">
        <f>IMAGE("https://lmztiles.s3.eu-west-1.amazonaws.com/Modern_Interiors_v41.3.4/1_Interiors/16x16/Theme_Sorter_Singles/16_Grocery_Store_Singles/Grocery_Store_Singles_324.png")</f>
        <v/>
      </c>
    </row>
    <row r="325" ht="36.0" customHeight="1">
      <c r="A325" s="16" t="s">
        <v>3429</v>
      </c>
      <c r="B325" s="16" t="str">
        <f>IMAGE("https://lmztiles.s3.eu-west-1.amazonaws.com/Modern_Interiors_v41.3.4/1_Interiors/16x16/Theme_Sorter_Singles/16_Grocery_Store_Singles/Grocery_Store_Singles_325.png")</f>
        <v/>
      </c>
    </row>
    <row r="326" ht="36.0" customHeight="1">
      <c r="A326" s="16" t="s">
        <v>3430</v>
      </c>
      <c r="B326" s="16" t="str">
        <f>IMAGE("https://lmztiles.s3.eu-west-1.amazonaws.com/Modern_Interiors_v41.3.4/1_Interiors/16x16/Theme_Sorter_Singles/16_Grocery_Store_Singles/Grocery_Store_Singles_326.png")</f>
        <v/>
      </c>
    </row>
    <row r="327" ht="36.0" customHeight="1">
      <c r="A327" s="16" t="s">
        <v>3431</v>
      </c>
      <c r="B327" s="16" t="str">
        <f>IMAGE("https://lmztiles.s3.eu-west-1.amazonaws.com/Modern_Interiors_v41.3.4/1_Interiors/16x16/Theme_Sorter_Singles/16_Grocery_Store_Singles/Grocery_Store_Singles_327.png")</f>
        <v/>
      </c>
    </row>
    <row r="328" ht="36.0" customHeight="1">
      <c r="A328" s="16" t="s">
        <v>3432</v>
      </c>
      <c r="B328" s="16" t="str">
        <f>IMAGE("https://lmztiles.s3.eu-west-1.amazonaws.com/Modern_Interiors_v41.3.4/1_Interiors/16x16/Theme_Sorter_Singles/16_Grocery_Store_Singles/Grocery_Store_Singles_328.png")</f>
        <v/>
      </c>
    </row>
    <row r="329" ht="36.0" customHeight="1">
      <c r="A329" s="16" t="s">
        <v>3433</v>
      </c>
      <c r="B329" s="16" t="str">
        <f>IMAGE("https://lmztiles.s3.eu-west-1.amazonaws.com/Modern_Interiors_v41.3.4/1_Interiors/16x16/Theme_Sorter_Singles/16_Grocery_Store_Singles/Grocery_Store_Singles_329.png")</f>
        <v/>
      </c>
    </row>
    <row r="330" ht="36.0" customHeight="1">
      <c r="A330" s="16" t="s">
        <v>3434</v>
      </c>
      <c r="B330" s="16" t="str">
        <f>IMAGE("https://lmztiles.s3.eu-west-1.amazonaws.com/Modern_Interiors_v41.3.4/1_Interiors/16x16/Theme_Sorter_Singles/16_Grocery_Store_Singles/Grocery_Store_Singles_330.png")</f>
        <v/>
      </c>
    </row>
    <row r="331" ht="36.0" customHeight="1">
      <c r="A331" s="16" t="s">
        <v>3435</v>
      </c>
      <c r="B331" s="16" t="str">
        <f>IMAGE("https://lmztiles.s3.eu-west-1.amazonaws.com/Modern_Interiors_v41.3.4/1_Interiors/16x16/Theme_Sorter_Singles/16_Grocery_Store_Singles/Grocery_Store_Singles_331.png")</f>
        <v/>
      </c>
    </row>
    <row r="332" ht="36.0" customHeight="1">
      <c r="A332" s="16" t="s">
        <v>3436</v>
      </c>
      <c r="B332" s="16" t="str">
        <f>IMAGE("https://lmztiles.s3.eu-west-1.amazonaws.com/Modern_Interiors_v41.3.4/1_Interiors/16x16/Theme_Sorter_Singles/16_Grocery_Store_Singles/Grocery_Store_Singles_332.png")</f>
        <v/>
      </c>
    </row>
    <row r="333" ht="36.0" customHeight="1">
      <c r="A333" s="16" t="s">
        <v>3437</v>
      </c>
      <c r="B333" s="16" t="str">
        <f>IMAGE("https://lmztiles.s3.eu-west-1.amazonaws.com/Modern_Interiors_v41.3.4/1_Interiors/16x16/Theme_Sorter_Singles/16_Grocery_Store_Singles/Grocery_Store_Singles_333.png")</f>
        <v/>
      </c>
    </row>
    <row r="334" ht="36.0" customHeight="1">
      <c r="A334" s="16" t="s">
        <v>3438</v>
      </c>
      <c r="B334" s="16" t="str">
        <f>IMAGE("https://lmztiles.s3.eu-west-1.amazonaws.com/Modern_Interiors_v41.3.4/1_Interiors/16x16/Theme_Sorter_Singles/16_Grocery_Store_Singles/Grocery_Store_Singles_334.png")</f>
        <v/>
      </c>
    </row>
    <row r="335" ht="36.0" customHeight="1">
      <c r="A335" s="16" t="s">
        <v>3439</v>
      </c>
      <c r="B335" s="16" t="str">
        <f>IMAGE("https://lmztiles.s3.eu-west-1.amazonaws.com/Modern_Interiors_v41.3.4/1_Interiors/16x16/Theme_Sorter_Singles/16_Grocery_Store_Singles/Grocery_Store_Singles_335.png")</f>
        <v/>
      </c>
    </row>
    <row r="336" ht="36.0" customHeight="1">
      <c r="A336" s="16" t="s">
        <v>3440</v>
      </c>
      <c r="B336" s="16" t="str">
        <f>IMAGE("https://lmztiles.s3.eu-west-1.amazonaws.com/Modern_Interiors_v41.3.4/1_Interiors/16x16/Theme_Sorter_Singles/16_Grocery_Store_Singles/Grocery_Store_Singles_336.png")</f>
        <v/>
      </c>
    </row>
    <row r="337" ht="36.0" customHeight="1">
      <c r="A337" s="16" t="s">
        <v>3441</v>
      </c>
      <c r="B337" s="16" t="str">
        <f>IMAGE("https://lmztiles.s3.eu-west-1.amazonaws.com/Modern_Interiors_v41.3.4/1_Interiors/16x16/Theme_Sorter_Singles/16_Grocery_Store_Singles/Grocery_Store_Singles_337.png")</f>
        <v/>
      </c>
    </row>
    <row r="338" ht="36.0" customHeight="1">
      <c r="A338" s="16" t="s">
        <v>3442</v>
      </c>
      <c r="B338" s="16" t="str">
        <f>IMAGE("https://lmztiles.s3.eu-west-1.amazonaws.com/Modern_Interiors_v41.3.4/1_Interiors/16x16/Theme_Sorter_Singles/16_Grocery_Store_Singles/Grocery_Store_Singles_338.png")</f>
        <v/>
      </c>
    </row>
    <row r="339" ht="36.0" customHeight="1">
      <c r="A339" s="16" t="s">
        <v>3443</v>
      </c>
      <c r="B339" s="16" t="str">
        <f>IMAGE("https://lmztiles.s3.eu-west-1.amazonaws.com/Modern_Interiors_v41.3.4/1_Interiors/16x16/Theme_Sorter_Singles/16_Grocery_Store_Singles/Grocery_Store_Singles_339.png")</f>
        <v/>
      </c>
    </row>
    <row r="340" ht="36.0" customHeight="1">
      <c r="A340" s="16" t="s">
        <v>3444</v>
      </c>
      <c r="B340" s="16" t="str">
        <f>IMAGE("https://lmztiles.s3.eu-west-1.amazonaws.com/Modern_Interiors_v41.3.4/1_Interiors/16x16/Theme_Sorter_Singles/16_Grocery_Store_Singles/Grocery_Store_Singles_340.png")</f>
        <v/>
      </c>
    </row>
    <row r="341" ht="36.0" customHeight="1">
      <c r="A341" s="16" t="s">
        <v>3445</v>
      </c>
      <c r="B341" s="16" t="str">
        <f>IMAGE("https://lmztiles.s3.eu-west-1.amazonaws.com/Modern_Interiors_v41.3.4/1_Interiors/16x16/Theme_Sorter_Singles/16_Grocery_Store_Singles/Grocery_Store_Singles_341.png")</f>
        <v/>
      </c>
    </row>
    <row r="342" ht="36.0" customHeight="1">
      <c r="A342" s="16" t="s">
        <v>3446</v>
      </c>
      <c r="B342" s="16" t="str">
        <f>IMAGE("https://lmztiles.s3.eu-west-1.amazonaws.com/Modern_Interiors_v41.3.4/1_Interiors/16x16/Theme_Sorter_Singles/16_Grocery_Store_Singles/Grocery_Store_Singles_342.png")</f>
        <v/>
      </c>
    </row>
    <row r="343" ht="36.0" customHeight="1">
      <c r="A343" s="16" t="s">
        <v>3447</v>
      </c>
      <c r="B343" s="16" t="str">
        <f>IMAGE("https://lmztiles.s3.eu-west-1.amazonaws.com/Modern_Interiors_v41.3.4/1_Interiors/16x16/Theme_Sorter_Singles/16_Grocery_Store_Singles/Grocery_Store_Singles_343.png")</f>
        <v/>
      </c>
    </row>
    <row r="344" ht="36.0" customHeight="1">
      <c r="A344" s="16" t="s">
        <v>3448</v>
      </c>
      <c r="B344" s="16" t="str">
        <f>IMAGE("https://lmztiles.s3.eu-west-1.amazonaws.com/Modern_Interiors_v41.3.4/1_Interiors/16x16/Theme_Sorter_Singles/16_Grocery_Store_Singles/Grocery_Store_Singles_344.png")</f>
        <v/>
      </c>
    </row>
    <row r="345" ht="36.0" customHeight="1">
      <c r="A345" s="16" t="s">
        <v>3449</v>
      </c>
      <c r="B345" s="16" t="str">
        <f>IMAGE("https://lmztiles.s3.eu-west-1.amazonaws.com/Modern_Interiors_v41.3.4/1_Interiors/16x16/Theme_Sorter_Singles/16_Grocery_Store_Singles/Grocery_Store_Singles_345.png")</f>
        <v/>
      </c>
    </row>
    <row r="346" ht="36.0" customHeight="1">
      <c r="A346" s="16" t="s">
        <v>3450</v>
      </c>
      <c r="B346" s="16" t="str">
        <f>IMAGE("https://lmztiles.s3.eu-west-1.amazonaws.com/Modern_Interiors_v41.3.4/1_Interiors/16x16/Theme_Sorter_Singles/16_Grocery_Store_Singles/Grocery_Store_Singles_346.png")</f>
        <v/>
      </c>
    </row>
    <row r="347" ht="36.0" customHeight="1">
      <c r="A347" s="16" t="s">
        <v>3451</v>
      </c>
      <c r="B347" s="16" t="str">
        <f>IMAGE("https://lmztiles.s3.eu-west-1.amazonaws.com/Modern_Interiors_v41.3.4/1_Interiors/16x16/Theme_Sorter_Singles/16_Grocery_Store_Singles/Grocery_Store_Singles_347.png")</f>
        <v/>
      </c>
    </row>
    <row r="348" ht="36.0" customHeight="1">
      <c r="A348" s="16" t="s">
        <v>3452</v>
      </c>
      <c r="B348" s="16" t="str">
        <f>IMAGE("https://lmztiles.s3.eu-west-1.amazonaws.com/Modern_Interiors_v41.3.4/1_Interiors/16x16/Theme_Sorter_Singles/16_Grocery_Store_Singles/Grocery_Store_Singles_348.png")</f>
        <v/>
      </c>
    </row>
    <row r="349" ht="36.0" customHeight="1">
      <c r="A349" s="16" t="s">
        <v>3453</v>
      </c>
      <c r="B349" s="16" t="str">
        <f>IMAGE("https://lmztiles.s3.eu-west-1.amazonaws.com/Modern_Interiors_v41.3.4/1_Interiors/16x16/Theme_Sorter_Singles/16_Grocery_Store_Singles/Grocery_Store_Singles_349.png")</f>
        <v/>
      </c>
    </row>
    <row r="350" ht="36.0" customHeight="1">
      <c r="A350" s="16" t="s">
        <v>3454</v>
      </c>
      <c r="B350" s="16" t="str">
        <f>IMAGE("https://lmztiles.s3.eu-west-1.amazonaws.com/Modern_Interiors_v41.3.4/1_Interiors/16x16/Theme_Sorter_Singles/16_Grocery_Store_Singles/Grocery_Store_Singles_350.png")</f>
        <v/>
      </c>
    </row>
    <row r="351" ht="36.0" customHeight="1">
      <c r="A351" s="16" t="s">
        <v>3455</v>
      </c>
      <c r="B351" s="16" t="str">
        <f>IMAGE("https://lmztiles.s3.eu-west-1.amazonaws.com/Modern_Interiors_v41.3.4/1_Interiors/16x16/Theme_Sorter_Singles/16_Grocery_Store_Singles/Grocery_Store_Singles_351.png")</f>
        <v/>
      </c>
    </row>
    <row r="352" ht="36.0" customHeight="1">
      <c r="A352" s="16" t="s">
        <v>3456</v>
      </c>
      <c r="B352" s="16" t="str">
        <f>IMAGE("https://lmztiles.s3.eu-west-1.amazonaws.com/Modern_Interiors_v41.3.4/1_Interiors/16x16/Theme_Sorter_Singles/16_Grocery_Store_Singles/Grocery_Store_Singles_352.png")</f>
        <v/>
      </c>
    </row>
    <row r="353" ht="36.0" customHeight="1">
      <c r="A353" s="16" t="s">
        <v>3457</v>
      </c>
      <c r="B353" s="16" t="str">
        <f>IMAGE("https://lmztiles.s3.eu-west-1.amazonaws.com/Modern_Interiors_v41.3.4/1_Interiors/16x16/Theme_Sorter_Singles/16_Grocery_Store_Singles/Grocery_Store_Singles_353.png")</f>
        <v/>
      </c>
    </row>
    <row r="354" ht="36.0" customHeight="1">
      <c r="A354" s="16" t="s">
        <v>3458</v>
      </c>
      <c r="B354" s="16" t="str">
        <f>IMAGE("https://lmztiles.s3.eu-west-1.amazonaws.com/Modern_Interiors_v41.3.4/1_Interiors/16x16/Theme_Sorter_Singles/16_Grocery_Store_Singles/Grocery_Store_Singles_354.png")</f>
        <v/>
      </c>
    </row>
    <row r="355" ht="36.0" customHeight="1">
      <c r="A355" s="16" t="s">
        <v>3459</v>
      </c>
      <c r="B355" s="16" t="str">
        <f>IMAGE("https://lmztiles.s3.eu-west-1.amazonaws.com/Modern_Interiors_v41.3.4/1_Interiors/16x16/Theme_Sorter_Singles/16_Grocery_Store_Singles/Grocery_Store_Singles_355.png")</f>
        <v/>
      </c>
    </row>
    <row r="356" ht="36.0" customHeight="1">
      <c r="A356" s="16" t="s">
        <v>3460</v>
      </c>
      <c r="B356" s="16" t="str">
        <f>IMAGE("https://lmztiles.s3.eu-west-1.amazonaws.com/Modern_Interiors_v41.3.4/1_Interiors/16x16/Theme_Sorter_Singles/16_Grocery_Store_Singles/Grocery_Store_Singles_356.png")</f>
        <v/>
      </c>
    </row>
    <row r="357" ht="36.0" customHeight="1">
      <c r="A357" s="16" t="s">
        <v>3461</v>
      </c>
      <c r="B357" s="16" t="str">
        <f>IMAGE("https://lmztiles.s3.eu-west-1.amazonaws.com/Modern_Interiors_v41.3.4/1_Interiors/16x16/Theme_Sorter_Singles/16_Grocery_Store_Singles/Grocery_Store_Singles_357.png")</f>
        <v/>
      </c>
    </row>
    <row r="358" ht="36.0" customHeight="1">
      <c r="A358" s="16" t="s">
        <v>3462</v>
      </c>
      <c r="B358" s="16" t="str">
        <f>IMAGE("https://lmztiles.s3.eu-west-1.amazonaws.com/Modern_Interiors_v41.3.4/1_Interiors/16x16/Theme_Sorter_Singles/16_Grocery_Store_Singles/Grocery_Store_Singles_358.png")</f>
        <v/>
      </c>
    </row>
    <row r="359" ht="36.0" customHeight="1">
      <c r="A359" s="16" t="s">
        <v>3463</v>
      </c>
      <c r="B359" s="16" t="str">
        <f>IMAGE("https://lmztiles.s3.eu-west-1.amazonaws.com/Modern_Interiors_v41.3.4/1_Interiors/16x16/Theme_Sorter_Singles/16_Grocery_Store_Singles/Grocery_Store_Singles_359.png")</f>
        <v/>
      </c>
    </row>
    <row r="360" ht="36.0" customHeight="1">
      <c r="A360" s="16" t="s">
        <v>3464</v>
      </c>
      <c r="B360" s="16" t="str">
        <f>IMAGE("https://lmztiles.s3.eu-west-1.amazonaws.com/Modern_Interiors_v41.3.4/1_Interiors/16x16/Theme_Sorter_Singles/16_Grocery_Store_Singles/Grocery_Store_Singles_360.png")</f>
        <v/>
      </c>
    </row>
    <row r="361" ht="36.0" customHeight="1">
      <c r="A361" s="16" t="s">
        <v>3465</v>
      </c>
      <c r="B361" s="16" t="str">
        <f>IMAGE("https://lmztiles.s3.eu-west-1.amazonaws.com/Modern_Interiors_v41.3.4/1_Interiors/16x16/Theme_Sorter_Singles/16_Grocery_Store_Singles/Grocery_Store_Singles_361.png")</f>
        <v/>
      </c>
    </row>
    <row r="362" ht="36.0" customHeight="1">
      <c r="A362" s="16" t="s">
        <v>3466</v>
      </c>
      <c r="B362" s="16" t="str">
        <f>IMAGE("https://lmztiles.s3.eu-west-1.amazonaws.com/Modern_Interiors_v41.3.4/1_Interiors/16x16/Theme_Sorter_Singles/16_Grocery_Store_Singles/Grocery_Store_Singles_362.png")</f>
        <v/>
      </c>
    </row>
    <row r="363" ht="36.0" customHeight="1">
      <c r="A363" s="16" t="s">
        <v>3467</v>
      </c>
      <c r="B363" s="16" t="str">
        <f>IMAGE("https://lmztiles.s3.eu-west-1.amazonaws.com/Modern_Interiors_v41.3.4/1_Interiors/16x16/Theme_Sorter_Singles/16_Grocery_Store_Singles/Grocery_Store_Singles_363.png")</f>
        <v/>
      </c>
    </row>
    <row r="364" ht="36.0" customHeight="1">
      <c r="A364" s="16" t="s">
        <v>3468</v>
      </c>
      <c r="B364" s="16" t="str">
        <f>IMAGE("https://lmztiles.s3.eu-west-1.amazonaws.com/Modern_Interiors_v41.3.4/1_Interiors/16x16/Theme_Sorter_Singles/16_Grocery_Store_Singles/Grocery_Store_Singles_364.png")</f>
        <v/>
      </c>
    </row>
    <row r="365" ht="36.0" customHeight="1">
      <c r="A365" s="16" t="s">
        <v>3469</v>
      </c>
      <c r="B365" s="16" t="str">
        <f>IMAGE("https://lmztiles.s3.eu-west-1.amazonaws.com/Modern_Interiors_v41.3.4/1_Interiors/16x16/Theme_Sorter_Singles/16_Grocery_Store_Singles/Grocery_Store_Singles_365.png")</f>
        <v/>
      </c>
    </row>
    <row r="366" ht="36.0" customHeight="1">
      <c r="A366" s="16" t="s">
        <v>3470</v>
      </c>
      <c r="B366" s="16" t="str">
        <f>IMAGE("https://lmztiles.s3.eu-west-1.amazonaws.com/Modern_Interiors_v41.3.4/1_Interiors/16x16/Theme_Sorter_Singles/16_Grocery_Store_Singles/Grocery_Store_Singles_366.png")</f>
        <v/>
      </c>
    </row>
    <row r="367" ht="36.0" customHeight="1">
      <c r="A367" s="16" t="s">
        <v>3471</v>
      </c>
      <c r="B367" s="16" t="str">
        <f>IMAGE("https://lmztiles.s3.eu-west-1.amazonaws.com/Modern_Interiors_v41.3.4/1_Interiors/16x16/Theme_Sorter_Singles/16_Grocery_Store_Singles/Grocery_Store_Singles_367.png")</f>
        <v/>
      </c>
    </row>
    <row r="368" ht="36.0" customHeight="1">
      <c r="A368" s="16" t="s">
        <v>3472</v>
      </c>
      <c r="B368" s="16" t="str">
        <f>IMAGE("https://lmztiles.s3.eu-west-1.amazonaws.com/Modern_Interiors_v41.3.4/1_Interiors/16x16/Theme_Sorter_Singles/16_Grocery_Store_Singles/Grocery_Store_Singles_368.png")</f>
        <v/>
      </c>
    </row>
    <row r="369" ht="36.0" customHeight="1">
      <c r="A369" s="16" t="s">
        <v>3473</v>
      </c>
      <c r="B369" s="16" t="str">
        <f>IMAGE("https://lmztiles.s3.eu-west-1.amazonaws.com/Modern_Interiors_v41.3.4/1_Interiors/16x16/Theme_Sorter_Singles/16_Grocery_Store_Singles/Grocery_Store_Singles_369.png")</f>
        <v/>
      </c>
    </row>
    <row r="370" ht="36.0" customHeight="1">
      <c r="A370" s="16" t="s">
        <v>3474</v>
      </c>
      <c r="B370" s="16" t="str">
        <f>IMAGE("https://lmztiles.s3.eu-west-1.amazonaws.com/Modern_Interiors_v41.3.4/1_Interiors/16x16/Theme_Sorter_Singles/16_Grocery_Store_Singles/Grocery_Store_Singles_370.png")</f>
        <v/>
      </c>
    </row>
    <row r="371" ht="36.0" customHeight="1">
      <c r="A371" s="16" t="s">
        <v>3475</v>
      </c>
      <c r="B371" s="16" t="str">
        <f>IMAGE("https://lmztiles.s3.eu-west-1.amazonaws.com/Modern_Interiors_v41.3.4/1_Interiors/16x16/Theme_Sorter_Singles/16_Grocery_Store_Singles/Grocery_Store_Singles_371.png")</f>
        <v/>
      </c>
    </row>
    <row r="372" ht="36.0" customHeight="1">
      <c r="A372" s="16" t="s">
        <v>3476</v>
      </c>
      <c r="B372" s="16" t="str">
        <f>IMAGE("https://lmztiles.s3.eu-west-1.amazonaws.com/Modern_Interiors_v41.3.4/1_Interiors/16x16/Theme_Sorter_Singles/16_Grocery_Store_Singles/Grocery_Store_Singles_372.png")</f>
        <v/>
      </c>
    </row>
    <row r="373" ht="36.0" customHeight="1">
      <c r="A373" s="16" t="s">
        <v>3477</v>
      </c>
      <c r="B373" s="16" t="str">
        <f>IMAGE("https://lmztiles.s3.eu-west-1.amazonaws.com/Modern_Interiors_v41.3.4/1_Interiors/16x16/Theme_Sorter_Singles/16_Grocery_Store_Singles/Grocery_Store_Singles_373.png")</f>
        <v/>
      </c>
    </row>
    <row r="374" ht="36.0" customHeight="1">
      <c r="A374" s="16" t="s">
        <v>3478</v>
      </c>
      <c r="B374" s="16" t="str">
        <f>IMAGE("https://lmztiles.s3.eu-west-1.amazonaws.com/Modern_Interiors_v41.3.4/1_Interiors/16x16/Theme_Sorter_Singles/16_Grocery_Store_Singles/Grocery_Store_Singles_374.png")</f>
        <v/>
      </c>
    </row>
    <row r="375" ht="36.0" customHeight="1">
      <c r="A375" s="16" t="s">
        <v>3479</v>
      </c>
      <c r="B375" s="16" t="str">
        <f>IMAGE("https://lmztiles.s3.eu-west-1.amazonaws.com/Modern_Interiors_v41.3.4/1_Interiors/16x16/Theme_Sorter_Singles/16_Grocery_Store_Singles/Grocery_Store_Singles_375.png")</f>
        <v/>
      </c>
    </row>
    <row r="376" ht="36.0" customHeight="1">
      <c r="A376" s="16" t="s">
        <v>3480</v>
      </c>
      <c r="B376" s="16" t="str">
        <f>IMAGE("https://lmztiles.s3.eu-west-1.amazonaws.com/Modern_Interiors_v41.3.4/1_Interiors/16x16/Theme_Sorter_Singles/16_Grocery_Store_Singles/Grocery_Store_Singles_376.png")</f>
        <v/>
      </c>
    </row>
    <row r="377" ht="36.0" customHeight="1">
      <c r="A377" s="16" t="s">
        <v>3481</v>
      </c>
      <c r="B377" s="16" t="str">
        <f>IMAGE("https://lmztiles.s3.eu-west-1.amazonaws.com/Modern_Interiors_v41.3.4/1_Interiors/16x16/Theme_Sorter_Singles/16_Grocery_Store_Singles/Grocery_Store_Singles_377.png")</f>
        <v/>
      </c>
    </row>
    <row r="378" ht="36.0" customHeight="1">
      <c r="A378" s="16" t="s">
        <v>3482</v>
      </c>
      <c r="B378" s="16" t="str">
        <f>IMAGE("https://lmztiles.s3.eu-west-1.amazonaws.com/Modern_Interiors_v41.3.4/1_Interiors/16x16/Theme_Sorter_Singles/16_Grocery_Store_Singles/Grocery_Store_Singles_378.png")</f>
        <v/>
      </c>
    </row>
    <row r="379" ht="36.0" customHeight="1">
      <c r="A379" s="16" t="s">
        <v>3483</v>
      </c>
      <c r="B379" s="16" t="str">
        <f>IMAGE("https://lmztiles.s3.eu-west-1.amazonaws.com/Modern_Interiors_v41.3.4/1_Interiors/16x16/Theme_Sorter_Singles/16_Grocery_Store_Singles/Grocery_Store_Singles_379.png")</f>
        <v/>
      </c>
    </row>
    <row r="380" ht="36.0" customHeight="1">
      <c r="A380" s="16" t="s">
        <v>3484</v>
      </c>
      <c r="B380" s="16" t="str">
        <f>IMAGE("https://lmztiles.s3.eu-west-1.amazonaws.com/Modern_Interiors_v41.3.4/1_Interiors/16x16/Theme_Sorter_Singles/16_Grocery_Store_Singles/Grocery_Store_Singles_380.png")</f>
        <v/>
      </c>
    </row>
    <row r="381" ht="36.0" customHeight="1">
      <c r="A381" s="16" t="s">
        <v>3485</v>
      </c>
      <c r="B381" s="16" t="str">
        <f>IMAGE("https://lmztiles.s3.eu-west-1.amazonaws.com/Modern_Interiors_v41.3.4/1_Interiors/16x16/Theme_Sorter_Singles/16_Grocery_Store_Singles/Grocery_Store_Singles_381.png")</f>
        <v/>
      </c>
    </row>
    <row r="382" ht="36.0" customHeight="1">
      <c r="A382" s="16" t="s">
        <v>3486</v>
      </c>
      <c r="B382" s="16" t="str">
        <f>IMAGE("https://lmztiles.s3.eu-west-1.amazonaws.com/Modern_Interiors_v41.3.4/1_Interiors/16x16/Theme_Sorter_Singles/16_Grocery_Store_Singles/Grocery_Store_Singles_382.png")</f>
        <v/>
      </c>
    </row>
    <row r="383" ht="36.0" customHeight="1">
      <c r="A383" s="16" t="s">
        <v>3487</v>
      </c>
      <c r="B383" s="16" t="str">
        <f>IMAGE("https://lmztiles.s3.eu-west-1.amazonaws.com/Modern_Interiors_v41.3.4/1_Interiors/16x16/Theme_Sorter_Singles/16_Grocery_Store_Singles/Grocery_Store_Singles_383.png")</f>
        <v/>
      </c>
    </row>
    <row r="384" ht="36.0" customHeight="1">
      <c r="A384" s="16" t="s">
        <v>3488</v>
      </c>
      <c r="B384" s="16" t="str">
        <f>IMAGE("https://lmztiles.s3.eu-west-1.amazonaws.com/Modern_Interiors_v41.3.4/1_Interiors/16x16/Theme_Sorter_Singles/16_Grocery_Store_Singles/Grocery_Store_Singles_384.png")</f>
        <v/>
      </c>
    </row>
    <row r="385" ht="36.0" customHeight="1">
      <c r="A385" s="16" t="s">
        <v>3489</v>
      </c>
      <c r="B385" s="16" t="str">
        <f>IMAGE("https://lmztiles.s3.eu-west-1.amazonaws.com/Modern_Interiors_v41.3.4/1_Interiors/16x16/Theme_Sorter_Singles/16_Grocery_Store_Singles/Grocery_Store_Singles_385.png")</f>
        <v/>
      </c>
    </row>
    <row r="386" ht="36.0" customHeight="1">
      <c r="A386" s="16" t="s">
        <v>3490</v>
      </c>
      <c r="B386" s="16" t="str">
        <f>IMAGE("https://lmztiles.s3.eu-west-1.amazonaws.com/Modern_Interiors_v41.3.4/1_Interiors/16x16/Theme_Sorter_Singles/16_Grocery_Store_Singles/Grocery_Store_Singles_386.png")</f>
        <v/>
      </c>
    </row>
    <row r="387" ht="36.0" customHeight="1">
      <c r="A387" s="16" t="s">
        <v>3491</v>
      </c>
      <c r="B387" s="16" t="str">
        <f>IMAGE("https://lmztiles.s3.eu-west-1.amazonaws.com/Modern_Interiors_v41.3.4/1_Interiors/16x16/Theme_Sorter_Singles/16_Grocery_Store_Singles/Grocery_Store_Singles_387.png")</f>
        <v/>
      </c>
    </row>
    <row r="388" ht="36.0" customHeight="1">
      <c r="A388" s="16" t="s">
        <v>3492</v>
      </c>
      <c r="B388" s="16" t="str">
        <f>IMAGE("https://lmztiles.s3.eu-west-1.amazonaws.com/Modern_Interiors_v41.3.4/1_Interiors/16x16/Theme_Sorter_Singles/16_Grocery_Store_Singles/Grocery_Store_Singles_388.png")</f>
        <v/>
      </c>
    </row>
    <row r="389" ht="36.0" customHeight="1">
      <c r="A389" s="16" t="s">
        <v>3493</v>
      </c>
      <c r="B389" s="16" t="str">
        <f>IMAGE("https://lmztiles.s3.eu-west-1.amazonaws.com/Modern_Interiors_v41.3.4/1_Interiors/16x16/Theme_Sorter_Singles/16_Grocery_Store_Singles/Grocery_Store_Singles_389.png")</f>
        <v/>
      </c>
    </row>
    <row r="390" ht="36.0" customHeight="1">
      <c r="A390" s="16" t="s">
        <v>3494</v>
      </c>
      <c r="B390" s="16" t="str">
        <f>IMAGE("https://lmztiles.s3.eu-west-1.amazonaws.com/Modern_Interiors_v41.3.4/1_Interiors/16x16/Theme_Sorter_Singles/16_Grocery_Store_Singles/Grocery_Store_Singles_390.png")</f>
        <v/>
      </c>
    </row>
    <row r="391" ht="36.0" customHeight="1">
      <c r="A391" s="16" t="s">
        <v>3495</v>
      </c>
      <c r="B391" s="16" t="str">
        <f>IMAGE("https://lmztiles.s3.eu-west-1.amazonaws.com/Modern_Interiors_v41.3.4/1_Interiors/16x16/Theme_Sorter_Singles/16_Grocery_Store_Singles/Grocery_Store_Singles_391.png")</f>
        <v/>
      </c>
    </row>
    <row r="392" ht="36.0" customHeight="1">
      <c r="A392" s="16" t="s">
        <v>3496</v>
      </c>
      <c r="B392" s="16" t="str">
        <f>IMAGE("https://lmztiles.s3.eu-west-1.amazonaws.com/Modern_Interiors_v41.3.4/1_Interiors/16x16/Theme_Sorter_Singles/16_Grocery_Store_Singles/Grocery_Store_Singles_392.png")</f>
        <v/>
      </c>
    </row>
    <row r="393" ht="36.0" customHeight="1">
      <c r="A393" s="16" t="s">
        <v>3497</v>
      </c>
      <c r="B393" s="16" t="str">
        <f>IMAGE("https://lmztiles.s3.eu-west-1.amazonaws.com/Modern_Interiors_v41.3.4/1_Interiors/16x16/Theme_Sorter_Singles/16_Grocery_Store_Singles/Grocery_Store_Singles_393.png")</f>
        <v/>
      </c>
    </row>
    <row r="394" ht="36.0" customHeight="1">
      <c r="A394" s="16" t="s">
        <v>3498</v>
      </c>
      <c r="B394" s="16" t="str">
        <f>IMAGE("https://lmztiles.s3.eu-west-1.amazonaws.com/Modern_Interiors_v41.3.4/1_Interiors/16x16/Theme_Sorter_Singles/16_Grocery_Store_Singles/Grocery_Store_Singles_394.png")</f>
        <v/>
      </c>
    </row>
    <row r="395" ht="36.0" customHeight="1">
      <c r="A395" s="16" t="s">
        <v>3499</v>
      </c>
      <c r="B395" s="16" t="str">
        <f>IMAGE("https://lmztiles.s3.eu-west-1.amazonaws.com/Modern_Interiors_v41.3.4/1_Interiors/16x16/Theme_Sorter_Singles/16_Grocery_Store_Singles/Grocery_Store_Singles_395.png")</f>
        <v/>
      </c>
    </row>
    <row r="396" ht="36.0" customHeight="1">
      <c r="A396" s="16" t="s">
        <v>3500</v>
      </c>
      <c r="B396" s="16" t="str">
        <f>IMAGE("https://lmztiles.s3.eu-west-1.amazonaws.com/Modern_Interiors_v41.3.4/1_Interiors/16x16/Theme_Sorter_Singles/16_Grocery_Store_Singles/Grocery_Store_Singles_396.png")</f>
        <v/>
      </c>
    </row>
    <row r="397" ht="36.0" customHeight="1">
      <c r="A397" s="16" t="s">
        <v>3501</v>
      </c>
      <c r="B397" s="16" t="str">
        <f>IMAGE("https://lmztiles.s3.eu-west-1.amazonaws.com/Modern_Interiors_v41.3.4/1_Interiors/16x16/Theme_Sorter_Singles/16_Grocery_Store_Singles/Grocery_Store_Singles_397.png")</f>
        <v/>
      </c>
    </row>
    <row r="398" ht="36.0" customHeight="1">
      <c r="A398" s="16" t="s">
        <v>3502</v>
      </c>
      <c r="B398" s="16" t="str">
        <f>IMAGE("https://lmztiles.s3.eu-west-1.amazonaws.com/Modern_Interiors_v41.3.4/1_Interiors/16x16/Theme_Sorter_Singles/16_Grocery_Store_Singles/Grocery_Store_Singles_398.png")</f>
        <v/>
      </c>
    </row>
    <row r="399" ht="36.0" customHeight="1">
      <c r="A399" s="16" t="s">
        <v>3503</v>
      </c>
      <c r="B399" s="16" t="str">
        <f>IMAGE("https://lmztiles.s3.eu-west-1.amazonaws.com/Modern_Interiors_v41.3.4/1_Interiors/16x16/Theme_Sorter_Singles/16_Grocery_Store_Singles/Grocery_Store_Singles_399.png")</f>
        <v/>
      </c>
    </row>
    <row r="400" ht="36.0" customHeight="1">
      <c r="A400" s="16" t="s">
        <v>3504</v>
      </c>
      <c r="B400" s="16" t="str">
        <f>IMAGE("https://lmztiles.s3.eu-west-1.amazonaws.com/Modern_Interiors_v41.3.4/1_Interiors/16x16/Theme_Sorter_Singles/16_Grocery_Store_Singles/Grocery_Store_Singles_400.png")</f>
        <v/>
      </c>
    </row>
    <row r="401" ht="36.0" customHeight="1">
      <c r="A401" s="16" t="s">
        <v>3505</v>
      </c>
      <c r="B401" s="16" t="str">
        <f>IMAGE("https://lmztiles.s3.eu-west-1.amazonaws.com/Modern_Interiors_v41.3.4/1_Interiors/16x16/Theme_Sorter_Singles/16_Grocery_Store_Singles/Grocery_Store_Singles_401.png")</f>
        <v/>
      </c>
    </row>
    <row r="402" ht="36.0" customHeight="1">
      <c r="A402" s="16" t="s">
        <v>3506</v>
      </c>
      <c r="B402" s="16" t="str">
        <f>IMAGE("https://lmztiles.s3.eu-west-1.amazonaws.com/Modern_Interiors_v41.3.4/1_Interiors/16x16/Theme_Sorter_Singles/16_Grocery_Store_Singles/Grocery_Store_Singles_402.png")</f>
        <v/>
      </c>
    </row>
    <row r="403" ht="36.0" customHeight="1">
      <c r="A403" s="16" t="s">
        <v>3507</v>
      </c>
      <c r="B403" s="16" t="str">
        <f>IMAGE("https://lmztiles.s3.eu-west-1.amazonaws.com/Modern_Interiors_v41.3.4/1_Interiors/16x16/Theme_Sorter_Singles/16_Grocery_Store_Singles/Grocery_Store_Singles_403.png")</f>
        <v/>
      </c>
    </row>
    <row r="404" ht="36.0" customHeight="1">
      <c r="A404" s="16" t="s">
        <v>3508</v>
      </c>
      <c r="B404" s="16" t="str">
        <f>IMAGE("https://lmztiles.s3.eu-west-1.amazonaws.com/Modern_Interiors_v41.3.4/1_Interiors/16x16/Theme_Sorter_Singles/16_Grocery_Store_Singles/Grocery_Store_Singles_404.png")</f>
        <v/>
      </c>
    </row>
    <row r="405" ht="36.0" customHeight="1">
      <c r="A405" s="16" t="s">
        <v>3509</v>
      </c>
      <c r="B405" s="16" t="str">
        <f>IMAGE("https://lmztiles.s3.eu-west-1.amazonaws.com/Modern_Interiors_v41.3.4/1_Interiors/16x16/Theme_Sorter_Singles/16_Grocery_Store_Singles/Grocery_Store_Singles_405.png")</f>
        <v/>
      </c>
    </row>
    <row r="406" ht="36.0" customHeight="1">
      <c r="A406" s="16" t="s">
        <v>3510</v>
      </c>
      <c r="B406" s="16" t="str">
        <f>IMAGE("https://lmztiles.s3.eu-west-1.amazonaws.com/Modern_Interiors_v41.3.4/1_Interiors/16x16/Theme_Sorter_Singles/16_Grocery_Store_Singles/Grocery_Store_Singles_406.png")</f>
        <v/>
      </c>
    </row>
    <row r="407" ht="36.0" customHeight="1">
      <c r="A407" s="16" t="s">
        <v>3511</v>
      </c>
      <c r="B407" s="16" t="str">
        <f>IMAGE("https://lmztiles.s3.eu-west-1.amazonaws.com/Modern_Interiors_v41.3.4/1_Interiors/16x16/Theme_Sorter_Singles/16_Grocery_Store_Singles/Grocery_Store_Singles_407.png")</f>
        <v/>
      </c>
    </row>
    <row r="408" ht="36.0" customHeight="1">
      <c r="A408" s="16" t="s">
        <v>3512</v>
      </c>
      <c r="B408" s="16" t="str">
        <f>IMAGE("https://lmztiles.s3.eu-west-1.amazonaws.com/Modern_Interiors_v41.3.4/1_Interiors/16x16/Theme_Sorter_Singles/16_Grocery_Store_Singles/Grocery_Store_Singles_408.png")</f>
        <v/>
      </c>
    </row>
    <row r="409" ht="36.0" customHeight="1">
      <c r="A409" s="16" t="s">
        <v>3513</v>
      </c>
      <c r="B409" s="16" t="str">
        <f>IMAGE("https://lmztiles.s3.eu-west-1.amazonaws.com/Modern_Interiors_v41.3.4/1_Interiors/16x16/Theme_Sorter_Singles/16_Grocery_Store_Singles/Grocery_Store_Singles_409.png")</f>
        <v/>
      </c>
    </row>
    <row r="410" ht="36.0" customHeight="1">
      <c r="A410" s="16" t="s">
        <v>3514</v>
      </c>
      <c r="B410" s="16" t="str">
        <f>IMAGE("https://lmztiles.s3.eu-west-1.amazonaws.com/Modern_Interiors_v41.3.4/1_Interiors/16x16/Theme_Sorter_Singles/16_Grocery_Store_Singles/Grocery_Store_Singles_410.png")</f>
        <v/>
      </c>
    </row>
    <row r="411" ht="36.0" customHeight="1">
      <c r="A411" s="16" t="s">
        <v>3515</v>
      </c>
      <c r="B411" s="16" t="str">
        <f>IMAGE("https://lmztiles.s3.eu-west-1.amazonaws.com/Modern_Interiors_v41.3.4/1_Interiors/16x16/Theme_Sorter_Singles/16_Grocery_Store_Singles/Grocery_Store_Singles_411.png")</f>
        <v/>
      </c>
    </row>
    <row r="412" ht="36.0" customHeight="1">
      <c r="A412" s="16" t="s">
        <v>3516</v>
      </c>
      <c r="B412" s="16" t="str">
        <f>IMAGE("https://lmztiles.s3.eu-west-1.amazonaws.com/Modern_Interiors_v41.3.4/1_Interiors/16x16/Theme_Sorter_Singles/16_Grocery_Store_Singles/Grocery_Store_Singles_412.png")</f>
        <v/>
      </c>
    </row>
    <row r="413" ht="36.0" customHeight="1">
      <c r="A413" s="16" t="s">
        <v>3517</v>
      </c>
      <c r="B413" s="16" t="str">
        <f>IMAGE("https://lmztiles.s3.eu-west-1.amazonaws.com/Modern_Interiors_v41.3.4/1_Interiors/16x16/Theme_Sorter_Singles/16_Grocery_Store_Singles/Grocery_Store_Singles_413.png")</f>
        <v/>
      </c>
    </row>
    <row r="414" ht="36.0" customHeight="1">
      <c r="A414" s="16" t="s">
        <v>3518</v>
      </c>
      <c r="B414" s="16" t="str">
        <f>IMAGE("https://lmztiles.s3.eu-west-1.amazonaws.com/Modern_Interiors_v41.3.4/1_Interiors/16x16/Theme_Sorter_Singles/16_Grocery_Store_Singles/Grocery_Store_Singles_414.png")</f>
        <v/>
      </c>
    </row>
    <row r="415" ht="36.0" customHeight="1">
      <c r="A415" s="16" t="s">
        <v>3519</v>
      </c>
      <c r="B415" s="16" t="str">
        <f>IMAGE("https://lmztiles.s3.eu-west-1.amazonaws.com/Modern_Interiors_v41.3.4/1_Interiors/16x16/Theme_Sorter_Singles/16_Grocery_Store_Singles/Grocery_Store_Singles_415.png")</f>
        <v/>
      </c>
    </row>
    <row r="416" ht="36.0" customHeight="1">
      <c r="A416" s="16" t="s">
        <v>3520</v>
      </c>
      <c r="B416" s="16" t="str">
        <f>IMAGE("https://lmztiles.s3.eu-west-1.amazonaws.com/Modern_Interiors_v41.3.4/1_Interiors/16x16/Theme_Sorter_Singles/16_Grocery_Store_Singles/Grocery_Store_Singles_416.png")</f>
        <v/>
      </c>
    </row>
    <row r="417" ht="36.0" customHeight="1">
      <c r="A417" s="16" t="s">
        <v>3521</v>
      </c>
      <c r="B417" s="16" t="str">
        <f>IMAGE("https://lmztiles.s3.eu-west-1.amazonaws.com/Modern_Interiors_v41.3.4/1_Interiors/16x16/Theme_Sorter_Singles/16_Grocery_Store_Singles/Grocery_Store_Singles_417.png")</f>
        <v/>
      </c>
    </row>
    <row r="418" ht="36.0" customHeight="1">
      <c r="A418" s="16" t="s">
        <v>3522</v>
      </c>
      <c r="B418" s="16" t="str">
        <f>IMAGE("https://lmztiles.s3.eu-west-1.amazonaws.com/Modern_Interiors_v41.3.4/1_Interiors/16x16/Theme_Sorter_Singles/16_Grocery_Store_Singles/Grocery_Store_Singles_418.png")</f>
        <v/>
      </c>
    </row>
    <row r="419" ht="36.0" customHeight="1">
      <c r="A419" s="16" t="s">
        <v>3523</v>
      </c>
      <c r="B419" s="16" t="str">
        <f>IMAGE("https://lmztiles.s3.eu-west-1.amazonaws.com/Modern_Interiors_v41.3.4/1_Interiors/16x16/Theme_Sorter_Singles/16_Grocery_Store_Singles/Grocery_Store_Singles_419.png")</f>
        <v/>
      </c>
    </row>
    <row r="420" ht="36.0" customHeight="1">
      <c r="A420" s="16" t="s">
        <v>3524</v>
      </c>
      <c r="B420" s="16" t="str">
        <f>IMAGE("https://lmztiles.s3.eu-west-1.amazonaws.com/Modern_Interiors_v41.3.4/1_Interiors/16x16/Theme_Sorter_Singles/16_Grocery_Store_Singles/Grocery_Store_Singles_420.png")</f>
        <v/>
      </c>
    </row>
    <row r="421" ht="36.0" customHeight="1">
      <c r="A421" s="16" t="s">
        <v>3525</v>
      </c>
      <c r="B421" s="16" t="str">
        <f>IMAGE("https://lmztiles.s3.eu-west-1.amazonaws.com/Modern_Interiors_v41.3.4/1_Interiors/16x16/Theme_Sorter_Singles/16_Grocery_Store_Singles/Grocery_Store_Singles_421.png")</f>
        <v/>
      </c>
    </row>
    <row r="422" ht="36.0" customHeight="1">
      <c r="A422" s="16" t="s">
        <v>3526</v>
      </c>
      <c r="B422" s="16" t="str">
        <f>IMAGE("https://lmztiles.s3.eu-west-1.amazonaws.com/Modern_Interiors_v41.3.4/1_Interiors/16x16/Theme_Sorter_Singles/16_Grocery_Store_Singles/Grocery_Store_Singles_422.png")</f>
        <v/>
      </c>
    </row>
    <row r="423" ht="36.0" customHeight="1">
      <c r="A423" s="16" t="s">
        <v>3527</v>
      </c>
      <c r="B423" s="16" t="str">
        <f>IMAGE("https://lmztiles.s3.eu-west-1.amazonaws.com/Modern_Interiors_v41.3.4/1_Interiors/16x16/Theme_Sorter_Singles/16_Grocery_Store_Singles/Grocery_Store_Singles_423.png")</f>
        <v/>
      </c>
    </row>
    <row r="424" ht="36.0" customHeight="1">
      <c r="A424" s="16" t="s">
        <v>3528</v>
      </c>
      <c r="B424" s="16" t="str">
        <f>IMAGE("https://lmztiles.s3.eu-west-1.amazonaws.com/Modern_Interiors_v41.3.4/1_Interiors/16x16/Theme_Sorter_Singles/16_Grocery_Store_Singles/Grocery_Store_Singles_424.png")</f>
        <v/>
      </c>
    </row>
    <row r="425" ht="36.0" customHeight="1">
      <c r="A425" s="16" t="s">
        <v>3529</v>
      </c>
      <c r="B425" s="16" t="str">
        <f>IMAGE("https://lmztiles.s3.eu-west-1.amazonaws.com/Modern_Interiors_v41.3.4/1_Interiors/16x16/Theme_Sorter_Singles/16_Grocery_Store_Singles/Grocery_Store_Singles_425.png")</f>
        <v/>
      </c>
    </row>
    <row r="426" ht="36.0" customHeight="1">
      <c r="A426" s="16" t="s">
        <v>3530</v>
      </c>
      <c r="B426" s="16" t="str">
        <f>IMAGE("https://lmztiles.s3.eu-west-1.amazonaws.com/Modern_Interiors_v41.3.4/1_Interiors/16x16/Theme_Sorter_Singles/16_Grocery_Store_Singles/Grocery_Store_Singles_426.png")</f>
        <v/>
      </c>
    </row>
    <row r="427" ht="36.0" customHeight="1">
      <c r="A427" s="16" t="s">
        <v>3531</v>
      </c>
      <c r="B427" s="16" t="str">
        <f>IMAGE("https://lmztiles.s3.eu-west-1.amazonaws.com/Modern_Interiors_v41.3.4/1_Interiors/16x16/Theme_Sorter_Singles/16_Grocery_Store_Singles/Grocery_Store_Singles_427.png")</f>
        <v/>
      </c>
    </row>
    <row r="428" ht="36.0" customHeight="1">
      <c r="A428" s="16" t="s">
        <v>3532</v>
      </c>
      <c r="B428" s="16" t="str">
        <f>IMAGE("https://lmztiles.s3.eu-west-1.amazonaws.com/Modern_Interiors_v41.3.4/1_Interiors/16x16/Theme_Sorter_Singles/16_Grocery_Store_Singles/Grocery_Store_Singles_428.png")</f>
        <v/>
      </c>
    </row>
    <row r="429" ht="36.0" customHeight="1">
      <c r="A429" s="16" t="s">
        <v>3533</v>
      </c>
      <c r="B429" s="16" t="str">
        <f>IMAGE("https://lmztiles.s3.eu-west-1.amazonaws.com/Modern_Interiors_v41.3.4/1_Interiors/16x16/Theme_Sorter_Singles/16_Grocery_Store_Singles/Grocery_Store_Singles_429.png")</f>
        <v/>
      </c>
    </row>
    <row r="430" ht="36.0" customHeight="1">
      <c r="A430" s="16" t="s">
        <v>3534</v>
      </c>
      <c r="B430" s="16" t="str">
        <f>IMAGE("https://lmztiles.s3.eu-west-1.amazonaws.com/Modern_Interiors_v41.3.4/1_Interiors/16x16/Theme_Sorter_Singles/16_Grocery_Store_Singles/Grocery_Store_Singles_430.png")</f>
        <v/>
      </c>
    </row>
    <row r="431" ht="36.0" customHeight="1">
      <c r="A431" s="16" t="s">
        <v>3535</v>
      </c>
      <c r="B431" s="16" t="str">
        <f>IMAGE("https://lmztiles.s3.eu-west-1.amazonaws.com/Modern_Interiors_v41.3.4/1_Interiors/16x16/Theme_Sorter_Singles/16_Grocery_Store_Singles/Grocery_Store_Singles_431.png")</f>
        <v/>
      </c>
    </row>
    <row r="432" ht="36.0" customHeight="1">
      <c r="A432" s="16" t="s">
        <v>3536</v>
      </c>
      <c r="B432" s="16" t="str">
        <f>IMAGE("https://lmztiles.s3.eu-west-1.amazonaws.com/Modern_Interiors_v41.3.4/1_Interiors/16x16/Theme_Sorter_Singles/16_Grocery_Store_Singles/Grocery_Store_Singles_432.png")</f>
        <v/>
      </c>
    </row>
    <row r="433" ht="36.0" customHeight="1">
      <c r="A433" s="16" t="s">
        <v>3537</v>
      </c>
      <c r="B433" s="16" t="str">
        <f>IMAGE("https://lmztiles.s3.eu-west-1.amazonaws.com/Modern_Interiors_v41.3.4/1_Interiors/16x16/Theme_Sorter_Singles/16_Grocery_Store_Singles/Grocery_Store_Singles_433.png")</f>
        <v/>
      </c>
    </row>
    <row r="434" ht="36.0" customHeight="1">
      <c r="A434" s="16" t="s">
        <v>3538</v>
      </c>
      <c r="B434" s="16" t="str">
        <f>IMAGE("https://lmztiles.s3.eu-west-1.amazonaws.com/Modern_Interiors_v41.3.4/1_Interiors/16x16/Theme_Sorter_Singles/16_Grocery_Store_Singles/Grocery_Store_Singles_434.png")</f>
        <v/>
      </c>
    </row>
    <row r="435" ht="36.0" customHeight="1">
      <c r="A435" s="16" t="s">
        <v>3539</v>
      </c>
      <c r="B435" s="16" t="str">
        <f>IMAGE("https://lmztiles.s3.eu-west-1.amazonaws.com/Modern_Interiors_v41.3.4/1_Interiors/16x16/Theme_Sorter_Singles/16_Grocery_Store_Singles/Grocery_Store_Singles_435.png")</f>
        <v/>
      </c>
    </row>
    <row r="436" ht="36.0" customHeight="1">
      <c r="A436" s="16" t="s">
        <v>3540</v>
      </c>
      <c r="B436" s="16" t="str">
        <f>IMAGE("https://lmztiles.s3.eu-west-1.amazonaws.com/Modern_Interiors_v41.3.4/1_Interiors/16x16/Theme_Sorter_Singles/16_Grocery_Store_Singles/Grocery_Store_Singles_436.png")</f>
        <v/>
      </c>
    </row>
    <row r="437" ht="36.0" customHeight="1">
      <c r="A437" s="16" t="s">
        <v>3541</v>
      </c>
      <c r="B437" s="16" t="str">
        <f>IMAGE("https://lmztiles.s3.eu-west-1.amazonaws.com/Modern_Interiors_v41.3.4/1_Interiors/16x16/Theme_Sorter_Singles/16_Grocery_Store_Singles/Grocery_Store_Singles_437.png")</f>
        <v/>
      </c>
    </row>
    <row r="438" ht="36.0" customHeight="1">
      <c r="A438" s="16" t="s">
        <v>3542</v>
      </c>
      <c r="B438" s="16" t="str">
        <f>IMAGE("https://lmztiles.s3.eu-west-1.amazonaws.com/Modern_Interiors_v41.3.4/1_Interiors/16x16/Theme_Sorter_Singles/16_Grocery_Store_Singles/Grocery_Store_Singles_438.png")</f>
        <v/>
      </c>
    </row>
    <row r="439" ht="36.0" customHeight="1">
      <c r="A439" s="16" t="s">
        <v>3543</v>
      </c>
      <c r="B439" s="16" t="str">
        <f>IMAGE("https://lmztiles.s3.eu-west-1.amazonaws.com/Modern_Interiors_v41.3.4/1_Interiors/16x16/Theme_Sorter_Singles/16_Grocery_Store_Singles/Grocery_Store_Singles_439.png")</f>
        <v/>
      </c>
    </row>
    <row r="440" ht="36.0" customHeight="1">
      <c r="A440" s="16" t="s">
        <v>3544</v>
      </c>
      <c r="B440" s="16" t="str">
        <f>IMAGE("https://lmztiles.s3.eu-west-1.amazonaws.com/Modern_Interiors_v41.3.4/1_Interiors/16x16/Theme_Sorter_Singles/16_Grocery_Store_Singles/Grocery_Store_Singles_440.png")</f>
        <v/>
      </c>
    </row>
    <row r="441" ht="36.0" customHeight="1">
      <c r="A441" s="16" t="s">
        <v>3545</v>
      </c>
      <c r="B441" s="16" t="str">
        <f>IMAGE("https://lmztiles.s3.eu-west-1.amazonaws.com/Modern_Interiors_v41.3.4/1_Interiors/16x16/Theme_Sorter_Singles/16_Grocery_Store_Singles/Grocery_Store_Singles_441.png")</f>
        <v/>
      </c>
    </row>
    <row r="442" ht="36.0" customHeight="1">
      <c r="A442" s="16" t="s">
        <v>3546</v>
      </c>
      <c r="B442" s="16" t="str">
        <f>IMAGE("https://lmztiles.s3.eu-west-1.amazonaws.com/Modern_Interiors_v41.3.4/1_Interiors/16x16/Theme_Sorter_Singles/16_Grocery_Store_Singles/Grocery_Store_Singles_442.png")</f>
        <v/>
      </c>
    </row>
    <row r="443" ht="36.0" customHeight="1">
      <c r="A443" s="16" t="s">
        <v>3547</v>
      </c>
      <c r="B443" s="16" t="str">
        <f>IMAGE("https://lmztiles.s3.eu-west-1.amazonaws.com/Modern_Interiors_v41.3.4/1_Interiors/16x16/Theme_Sorter_Singles/16_Grocery_Store_Singles/Grocery_Store_Singles_443.png")</f>
        <v/>
      </c>
    </row>
    <row r="444" ht="36.0" customHeight="1">
      <c r="A444" s="16" t="s">
        <v>3548</v>
      </c>
      <c r="B444" s="16" t="str">
        <f>IMAGE("https://lmztiles.s3.eu-west-1.amazonaws.com/Modern_Interiors_v41.3.4/1_Interiors/16x16/Theme_Sorter_Singles/16_Grocery_Store_Singles/Grocery_Store_Singles_444.png")</f>
        <v/>
      </c>
    </row>
    <row r="445" ht="36.0" customHeight="1">
      <c r="A445" s="16" t="s">
        <v>3549</v>
      </c>
      <c r="B445" s="16" t="str">
        <f>IMAGE("https://lmztiles.s3.eu-west-1.amazonaws.com/Modern_Interiors_v41.3.4/1_Interiors/16x16/Theme_Sorter_Singles/16_Grocery_Store_Singles/Grocery_Store_Singles_445.png")</f>
        <v/>
      </c>
    </row>
    <row r="446" ht="36.0" customHeight="1">
      <c r="A446" s="16" t="s">
        <v>3550</v>
      </c>
      <c r="B446" s="16" t="str">
        <f>IMAGE("https://lmztiles.s3.eu-west-1.amazonaws.com/Modern_Interiors_v41.3.4/1_Interiors/16x16/Theme_Sorter_Singles/16_Grocery_Store_Singles/Grocery_Store_Singles_446.png")</f>
        <v/>
      </c>
    </row>
    <row r="447" ht="36.0" customHeight="1">
      <c r="A447" s="16" t="s">
        <v>3551</v>
      </c>
      <c r="B447" s="16" t="str">
        <f>IMAGE("https://lmztiles.s3.eu-west-1.amazonaws.com/Modern_Interiors_v41.3.4/1_Interiors/16x16/Theme_Sorter_Singles/16_Grocery_Store_Singles/Grocery_Store_Singles_447.png")</f>
        <v/>
      </c>
    </row>
    <row r="448" ht="36.0" customHeight="1">
      <c r="A448" s="16" t="s">
        <v>3552</v>
      </c>
      <c r="B448" s="16" t="str">
        <f>IMAGE("https://lmztiles.s3.eu-west-1.amazonaws.com/Modern_Interiors_v41.3.4/1_Interiors/16x16/Theme_Sorter_Singles/16_Grocery_Store_Singles/Grocery_Store_Singles_448.png")</f>
        <v/>
      </c>
    </row>
    <row r="449" ht="36.0" customHeight="1">
      <c r="A449" s="16" t="s">
        <v>3553</v>
      </c>
      <c r="B449" s="16" t="str">
        <f>IMAGE("https://lmztiles.s3.eu-west-1.amazonaws.com/Modern_Interiors_v41.3.4/1_Interiors/16x16/Theme_Sorter_Singles/16_Grocery_Store_Singles/Grocery_Store_Singles_449.png")</f>
        <v/>
      </c>
    </row>
    <row r="450" ht="36.0" customHeight="1">
      <c r="A450" s="16" t="s">
        <v>3554</v>
      </c>
      <c r="B450" s="16" t="str">
        <f>IMAGE("https://lmztiles.s3.eu-west-1.amazonaws.com/Modern_Interiors_v41.3.4/1_Interiors/16x16/Theme_Sorter_Singles/16_Grocery_Store_Singles/Grocery_Store_Singles_450.png")</f>
        <v/>
      </c>
    </row>
    <row r="451" ht="36.0" customHeight="1">
      <c r="A451" s="16" t="s">
        <v>3555</v>
      </c>
      <c r="B451" s="16" t="str">
        <f>IMAGE("https://lmztiles.s3.eu-west-1.amazonaws.com/Modern_Interiors_v41.3.4/1_Interiors/16x16/Theme_Sorter_Singles/16_Grocery_Store_Singles/Grocery_Store_Singles_451.png")</f>
        <v/>
      </c>
    </row>
    <row r="452" ht="36.0" customHeight="1">
      <c r="A452" s="16" t="s">
        <v>3556</v>
      </c>
      <c r="B452" s="16" t="str">
        <f>IMAGE("https://lmztiles.s3.eu-west-1.amazonaws.com/Modern_Interiors_v41.3.4/1_Interiors/16x16/Theme_Sorter_Singles/16_Grocery_Store_Singles/Grocery_Store_Singles_452.png")</f>
        <v/>
      </c>
    </row>
    <row r="453" ht="36.0" customHeight="1">
      <c r="A453" s="16" t="s">
        <v>3557</v>
      </c>
      <c r="B453" s="16" t="str">
        <f>IMAGE("https://lmztiles.s3.eu-west-1.amazonaws.com/Modern_Interiors_v41.3.4/1_Interiors/16x16/Theme_Sorter_Singles/16_Grocery_Store_Singles/Grocery_Store_Singles_453.png")</f>
        <v/>
      </c>
    </row>
    <row r="454" ht="36.0" customHeight="1">
      <c r="A454" s="16" t="s">
        <v>3558</v>
      </c>
      <c r="B454" s="16" t="str">
        <f>IMAGE("https://lmztiles.s3.eu-west-1.amazonaws.com/Modern_Interiors_v41.3.4/1_Interiors/16x16/Theme_Sorter_Singles/16_Grocery_Store_Singles/Grocery_Store_Singles_454.png")</f>
        <v/>
      </c>
    </row>
    <row r="455" ht="36.0" customHeight="1">
      <c r="A455" s="16" t="s">
        <v>3559</v>
      </c>
      <c r="B455" s="16" t="str">
        <f>IMAGE("https://lmztiles.s3.eu-west-1.amazonaws.com/Modern_Interiors_v41.3.4/1_Interiors/16x16/Theme_Sorter_Singles/16_Grocery_Store_Singles/Grocery_Store_Singles_455.png")</f>
        <v/>
      </c>
    </row>
    <row r="456" ht="36.0" customHeight="1">
      <c r="A456" s="16" t="s">
        <v>3560</v>
      </c>
      <c r="B456" s="16" t="str">
        <f>IMAGE("https://lmztiles.s3.eu-west-1.amazonaws.com/Modern_Interiors_v41.3.4/1_Interiors/16x16/Theme_Sorter_Singles/16_Grocery_Store_Singles/Grocery_Store_Singles_456.png")</f>
        <v/>
      </c>
    </row>
    <row r="457" ht="36.0" customHeight="1">
      <c r="A457" s="16" t="s">
        <v>3561</v>
      </c>
      <c r="B457" s="16" t="str">
        <f>IMAGE("https://lmztiles.s3.eu-west-1.amazonaws.com/Modern_Interiors_v41.3.4/1_Interiors/16x16/Theme_Sorter_Singles/16_Grocery_Store_Singles/Grocery_Store_Singles_457.png")</f>
        <v/>
      </c>
    </row>
    <row r="458" ht="36.0" customHeight="1">
      <c r="A458" s="16" t="s">
        <v>3562</v>
      </c>
      <c r="B458" s="16" t="str">
        <f>IMAGE("https://lmztiles.s3.eu-west-1.amazonaws.com/Modern_Interiors_v41.3.4/1_Interiors/16x16/Theme_Sorter_Singles/16_Grocery_Store_Singles/Grocery_Store_Singles_458.png")</f>
        <v/>
      </c>
    </row>
    <row r="459" ht="36.0" customHeight="1">
      <c r="A459" s="16" t="s">
        <v>3563</v>
      </c>
      <c r="B459" s="16" t="str">
        <f>IMAGE("https://lmztiles.s3.eu-west-1.amazonaws.com/Modern_Interiors_v41.3.4/1_Interiors/16x16/Theme_Sorter_Singles/16_Grocery_Store_Singles/Grocery_Store_Singles_459.png")</f>
        <v/>
      </c>
    </row>
    <row r="460" ht="36.0" customHeight="1">
      <c r="A460" s="16" t="s">
        <v>3564</v>
      </c>
      <c r="B460" s="16" t="str">
        <f>IMAGE("https://lmztiles.s3.eu-west-1.amazonaws.com/Modern_Interiors_v41.3.4/1_Interiors/16x16/Theme_Sorter_Singles/16_Grocery_Store_Singles/Grocery_Store_Singles_460.png")</f>
        <v/>
      </c>
    </row>
    <row r="461" ht="36.0" customHeight="1">
      <c r="A461" s="16" t="s">
        <v>3565</v>
      </c>
      <c r="B461" s="16" t="str">
        <f>IMAGE("https://lmztiles.s3.eu-west-1.amazonaws.com/Modern_Interiors_v41.3.4/1_Interiors/16x16/Theme_Sorter_Singles/16_Grocery_Store_Singles/Grocery_Store_Singles_461.png")</f>
        <v/>
      </c>
    </row>
    <row r="462" ht="36.0" customHeight="1">
      <c r="A462" s="16" t="s">
        <v>3566</v>
      </c>
      <c r="B462" s="16" t="str">
        <f>IMAGE("https://lmztiles.s3.eu-west-1.amazonaws.com/Modern_Interiors_v41.3.4/1_Interiors/16x16/Theme_Sorter_Singles/16_Grocery_Store_Singles/Grocery_Store_Singles_462.png")</f>
        <v/>
      </c>
    </row>
    <row r="463" ht="36.0" customHeight="1">
      <c r="A463" s="16" t="s">
        <v>3567</v>
      </c>
      <c r="B463" s="16" t="str">
        <f>IMAGE("https://lmztiles.s3.eu-west-1.amazonaws.com/Modern_Interiors_v41.3.4/1_Interiors/16x16/Theme_Sorter_Singles/16_Grocery_Store_Singles/Grocery_Store_Singles_463.png")</f>
        <v/>
      </c>
    </row>
    <row r="464" ht="36.0" customHeight="1">
      <c r="A464" s="16" t="s">
        <v>3568</v>
      </c>
      <c r="B464" s="16" t="str">
        <f>IMAGE("https://lmztiles.s3.eu-west-1.amazonaws.com/Modern_Interiors_v41.3.4/1_Interiors/16x16/Theme_Sorter_Singles/16_Grocery_Store_Singles/Grocery_Store_Singles_464.png")</f>
        <v/>
      </c>
    </row>
    <row r="465" ht="36.0" customHeight="1">
      <c r="A465" s="16" t="s">
        <v>3569</v>
      </c>
      <c r="B465" s="16" t="str">
        <f>IMAGE("https://lmztiles.s3.eu-west-1.amazonaws.com/Modern_Interiors_v41.3.4/1_Interiors/16x16/Theme_Sorter_Singles/16_Grocery_Store_Singles/Grocery_Store_Singles_465.png")</f>
        <v/>
      </c>
    </row>
    <row r="466" ht="36.0" customHeight="1">
      <c r="A466" s="16" t="s">
        <v>3570</v>
      </c>
      <c r="B466" s="16" t="str">
        <f>IMAGE("https://lmztiles.s3.eu-west-1.amazonaws.com/Modern_Interiors_v41.3.4/1_Interiors/16x16/Theme_Sorter_Singles/16_Grocery_Store_Singles/Grocery_Store_Singles_466.png")</f>
        <v/>
      </c>
    </row>
    <row r="467" ht="36.0" customHeight="1">
      <c r="A467" s="16" t="s">
        <v>3571</v>
      </c>
      <c r="B467" s="16" t="str">
        <f>IMAGE("https://lmztiles.s3.eu-west-1.amazonaws.com/Modern_Interiors_v41.3.4/1_Interiors/16x16/Theme_Sorter_Singles/16_Grocery_Store_Singles/Grocery_Store_Singles_467.png")</f>
        <v/>
      </c>
    </row>
    <row r="468" ht="36.0" customHeight="1">
      <c r="A468" s="16" t="s">
        <v>3572</v>
      </c>
      <c r="B468" s="16" t="str">
        <f>IMAGE("https://lmztiles.s3.eu-west-1.amazonaws.com/Modern_Interiors_v41.3.4/1_Interiors/16x16/Theme_Sorter_Singles/16_Grocery_Store_Singles/Grocery_Store_Singles_468.png")</f>
        <v/>
      </c>
    </row>
    <row r="469" ht="36.0" customHeight="1">
      <c r="A469" s="16" t="s">
        <v>3573</v>
      </c>
      <c r="B469" s="16" t="str">
        <f>IMAGE("https://lmztiles.s3.eu-west-1.amazonaws.com/Modern_Interiors_v41.3.4/1_Interiors/16x16/Theme_Sorter_Singles/16_Grocery_Store_Singles/Grocery_Store_Singles_469.png")</f>
        <v/>
      </c>
    </row>
    <row r="470" ht="36.0" customHeight="1">
      <c r="A470" s="16" t="s">
        <v>3574</v>
      </c>
      <c r="B470" s="16" t="str">
        <f>IMAGE("https://lmztiles.s3.eu-west-1.amazonaws.com/Modern_Interiors_v41.3.4/1_Interiors/16x16/Theme_Sorter_Singles/16_Grocery_Store_Singles/Grocery_Store_Singles_470.png")</f>
        <v/>
      </c>
    </row>
    <row r="471" ht="36.0" customHeight="1">
      <c r="A471" s="16" t="s">
        <v>3575</v>
      </c>
      <c r="B471" s="16" t="str">
        <f>IMAGE("https://lmztiles.s3.eu-west-1.amazonaws.com/Modern_Interiors_v41.3.4/1_Interiors/16x16/Theme_Sorter_Singles/16_Grocery_Store_Singles/Grocery_Store_Singles_471.png")</f>
        <v/>
      </c>
    </row>
    <row r="472" ht="36.0" customHeight="1">
      <c r="A472" s="16" t="s">
        <v>3576</v>
      </c>
      <c r="B472" s="16" t="str">
        <f>IMAGE("https://lmztiles.s3.eu-west-1.amazonaws.com/Modern_Interiors_v41.3.4/1_Interiors/16x16/Theme_Sorter_Singles/16_Grocery_Store_Singles/Grocery_Store_Singles_472.png")</f>
        <v/>
      </c>
    </row>
    <row r="473" ht="36.0" customHeight="1">
      <c r="A473" s="16" t="s">
        <v>3577</v>
      </c>
      <c r="B473" s="16" t="str">
        <f>IMAGE("https://lmztiles.s3.eu-west-1.amazonaws.com/Modern_Interiors_v41.3.4/1_Interiors/16x16/Theme_Sorter_Singles/16_Grocery_Store_Singles/Grocery_Store_Singles_473.png")</f>
        <v/>
      </c>
    </row>
    <row r="474" ht="36.0" customHeight="1">
      <c r="A474" s="16" t="s">
        <v>3578</v>
      </c>
      <c r="B474" s="16" t="str">
        <f>IMAGE("https://lmztiles.s3.eu-west-1.amazonaws.com/Modern_Interiors_v41.3.4/1_Interiors/16x16/Theme_Sorter_Singles/16_Grocery_Store_Singles/Grocery_Store_Singles_474.png")</f>
        <v/>
      </c>
    </row>
    <row r="475" ht="36.0" customHeight="1">
      <c r="A475" s="16" t="s">
        <v>3579</v>
      </c>
      <c r="B475" s="16" t="str">
        <f>IMAGE("https://lmztiles.s3.eu-west-1.amazonaws.com/Modern_Interiors_v41.3.4/1_Interiors/16x16/Theme_Sorter_Singles/16_Grocery_Store_Singles/Grocery_Store_Singles_475.png")</f>
        <v/>
      </c>
    </row>
    <row r="476" ht="36.0" customHeight="1">
      <c r="A476" s="16" t="s">
        <v>3580</v>
      </c>
      <c r="B476" s="16" t="str">
        <f>IMAGE("https://lmztiles.s3.eu-west-1.amazonaws.com/Modern_Interiors_v41.3.4/1_Interiors/16x16/Theme_Sorter_Singles/16_Grocery_Store_Singles/Grocery_Store_Singles_476.png")</f>
        <v/>
      </c>
    </row>
    <row r="477" ht="36.0" customHeight="1">
      <c r="A477" s="16" t="s">
        <v>3581</v>
      </c>
      <c r="B477" s="16" t="str">
        <f>IMAGE("https://lmztiles.s3.eu-west-1.amazonaws.com/Modern_Interiors_v41.3.4/1_Interiors/16x16/Theme_Sorter_Singles/16_Grocery_Store_Singles/Grocery_Store_Singles_477.png")</f>
        <v/>
      </c>
    </row>
    <row r="478" ht="36.0" customHeight="1">
      <c r="A478" s="16" t="s">
        <v>3582</v>
      </c>
      <c r="B478" s="16" t="str">
        <f>IMAGE("https://lmztiles.s3.eu-west-1.amazonaws.com/Modern_Interiors_v41.3.4/1_Interiors/16x16/Theme_Sorter_Singles/16_Grocery_Store_Singles/Grocery_Store_Singles_478.png")</f>
        <v/>
      </c>
    </row>
    <row r="479" ht="36.0" customHeight="1">
      <c r="A479" s="16" t="s">
        <v>3583</v>
      </c>
      <c r="B479" s="16" t="str">
        <f>IMAGE("https://lmztiles.s3.eu-west-1.amazonaws.com/Modern_Interiors_v41.3.4/1_Interiors/16x16/Theme_Sorter_Singles/16_Grocery_Store_Singles/Grocery_Store_Singles_479.png")</f>
        <v/>
      </c>
    </row>
    <row r="480" ht="36.0" customHeight="1">
      <c r="A480" s="16" t="s">
        <v>3584</v>
      </c>
      <c r="B480" s="16" t="str">
        <f>IMAGE("https://lmztiles.s3.eu-west-1.amazonaws.com/Modern_Interiors_v41.3.4/1_Interiors/16x16/Theme_Sorter_Singles/16_Grocery_Store_Singles/Grocery_Store_Singles_480.png")</f>
        <v/>
      </c>
    </row>
    <row r="481" ht="36.0" customHeight="1">
      <c r="A481" s="16" t="s">
        <v>3585</v>
      </c>
      <c r="B481" s="16" t="str">
        <f>IMAGE("https://lmztiles.s3.eu-west-1.amazonaws.com/Modern_Interiors_v41.3.4/1_Interiors/16x16/Theme_Sorter_Singles/16_Grocery_Store_Singles/Grocery_Store_Singles_481.png")</f>
        <v/>
      </c>
    </row>
    <row r="482" ht="36.0" customHeight="1">
      <c r="A482" s="16" t="s">
        <v>3586</v>
      </c>
      <c r="B482" s="16" t="str">
        <f>IMAGE("https://lmztiles.s3.eu-west-1.amazonaws.com/Modern_Interiors_v41.3.4/1_Interiors/16x16/Theme_Sorter_Singles/16_Grocery_Store_Singles/Grocery_Store_Singles_482.png")</f>
        <v/>
      </c>
    </row>
    <row r="483" ht="36.0" customHeight="1">
      <c r="A483" s="16" t="s">
        <v>3587</v>
      </c>
      <c r="B483" s="16" t="str">
        <f>IMAGE("https://lmztiles.s3.eu-west-1.amazonaws.com/Modern_Interiors_v41.3.4/1_Interiors/16x16/Theme_Sorter_Singles/16_Grocery_Store_Singles/Grocery_Store_Singles_483.png")</f>
        <v/>
      </c>
    </row>
    <row r="484" ht="36.0" customHeight="1">
      <c r="A484" s="16" t="s">
        <v>3588</v>
      </c>
      <c r="B484" s="16" t="str">
        <f>IMAGE("https://lmztiles.s3.eu-west-1.amazonaws.com/Modern_Interiors_v41.3.4/1_Interiors/16x16/Theme_Sorter_Singles/16_Grocery_Store_Singles/Grocery_Store_Singles_484.png")</f>
        <v/>
      </c>
    </row>
    <row r="485" ht="36.0" customHeight="1">
      <c r="A485" s="16" t="s">
        <v>3589</v>
      </c>
      <c r="B485" s="16" t="str">
        <f>IMAGE("https://lmztiles.s3.eu-west-1.amazonaws.com/Modern_Interiors_v41.3.4/1_Interiors/16x16/Theme_Sorter_Singles/16_Grocery_Store_Singles/Grocery_Store_Singles_485.png")</f>
        <v/>
      </c>
    </row>
    <row r="486" ht="36.0" customHeight="1">
      <c r="A486" s="16" t="s">
        <v>3590</v>
      </c>
      <c r="B486" s="16" t="str">
        <f>IMAGE("https://lmztiles.s3.eu-west-1.amazonaws.com/Modern_Interiors_v41.3.4/1_Interiors/16x16/Theme_Sorter_Singles/16_Grocery_Store_Singles/Grocery_Store_Singles_486.png")</f>
        <v/>
      </c>
    </row>
    <row r="487" ht="36.0" customHeight="1">
      <c r="A487" s="16" t="s">
        <v>3591</v>
      </c>
      <c r="B487" s="16" t="str">
        <f>IMAGE("https://lmztiles.s3.eu-west-1.amazonaws.com/Modern_Interiors_v41.3.4/1_Interiors/16x16/Theme_Sorter_Singles/16_Grocery_Store_Singles/Grocery_Store_Singles_487.png")</f>
        <v/>
      </c>
    </row>
    <row r="488" ht="36.0" customHeight="1">
      <c r="A488" s="16" t="s">
        <v>3592</v>
      </c>
      <c r="B488" s="16" t="str">
        <f>IMAGE("https://lmztiles.s3.eu-west-1.amazonaws.com/Modern_Interiors_v41.3.4/1_Interiors/16x16/Theme_Sorter_Singles/16_Grocery_Store_Singles/Grocery_Store_Singles_488.png")</f>
        <v/>
      </c>
    </row>
    <row r="489" ht="36.0" customHeight="1">
      <c r="A489" s="16" t="s">
        <v>3593</v>
      </c>
      <c r="B489" s="16" t="str">
        <f>IMAGE("https://lmztiles.s3.eu-west-1.amazonaws.com/Modern_Interiors_v41.3.4/1_Interiors/16x16/Theme_Sorter_Singles/16_Grocery_Store_Singles/Grocery_Store_Singles_489.png")</f>
        <v/>
      </c>
    </row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8.71"/>
    <col customWidth="1" min="3" max="3" width="94.43"/>
  </cols>
  <sheetData>
    <row r="1" ht="34.5" customHeight="1">
      <c r="A1" s="18" t="s">
        <v>3594</v>
      </c>
      <c r="B1" s="16" t="str">
        <f>IMAGE("https://lmztiles.s3.eu-west-1.amazonaws.com/Modern_Interiors_v41.3.4/1_Interiors/16x16/Theme_Sorter_Singles/18_Jail_Singles/Jail_Singles_1.png")</f>
        <v/>
      </c>
    </row>
    <row r="2" ht="34.5" customHeight="1">
      <c r="A2" s="18" t="s">
        <v>3595</v>
      </c>
      <c r="B2" s="16" t="str">
        <f>IMAGE("https://lmztiles.s3.eu-west-1.amazonaws.com/Modern_Interiors_v41.3.4/1_Interiors/16x16/Theme_Sorter_Singles/18_Jail_Singles/Jail_Singles_2.png")</f>
        <v/>
      </c>
    </row>
    <row r="3" ht="34.5" customHeight="1">
      <c r="A3" s="18" t="s">
        <v>3596</v>
      </c>
      <c r="B3" s="16" t="str">
        <f>IMAGE("https://lmztiles.s3.eu-west-1.amazonaws.com/Modern_Interiors_v41.3.4/1_Interiors/16x16/Theme_Sorter_Singles/18_Jail_Singles/Jail_Singles_3.png")</f>
        <v/>
      </c>
    </row>
    <row r="4" ht="34.5" customHeight="1">
      <c r="A4" s="18" t="s">
        <v>3597</v>
      </c>
      <c r="B4" s="16" t="str">
        <f>IMAGE("https://lmztiles.s3.eu-west-1.amazonaws.com/Modern_Interiors_v41.3.4/1_Interiors/16x16/Theme_Sorter_Singles/18_Jail_Singles/Jail_Singles_4.png")</f>
        <v/>
      </c>
    </row>
    <row r="5" ht="34.5" customHeight="1">
      <c r="A5" s="18" t="s">
        <v>3598</v>
      </c>
      <c r="B5" s="16" t="str">
        <f>IMAGE("https://lmztiles.s3.eu-west-1.amazonaws.com/Modern_Interiors_v41.3.4/1_Interiors/16x16/Theme_Sorter_Singles/18_Jail_Singles/Jail_Singles_5.png")</f>
        <v/>
      </c>
    </row>
    <row r="6" ht="34.5" customHeight="1">
      <c r="A6" s="18" t="s">
        <v>3599</v>
      </c>
      <c r="B6" s="16" t="str">
        <f>IMAGE("https://lmztiles.s3.eu-west-1.amazonaws.com/Modern_Interiors_v41.3.4/1_Interiors/16x16/Theme_Sorter_Singles/18_Jail_Singles/Jail_Singles_6.png")</f>
        <v/>
      </c>
    </row>
    <row r="7" ht="34.5" customHeight="1">
      <c r="A7" s="18" t="s">
        <v>3600</v>
      </c>
      <c r="B7" s="16" t="str">
        <f>IMAGE("https://lmztiles.s3.eu-west-1.amazonaws.com/Modern_Interiors_v41.3.4/1_Interiors/16x16/Theme_Sorter_Singles/18_Jail_Singles/Jail_Singles_7.png")</f>
        <v/>
      </c>
    </row>
    <row r="8" ht="34.5" customHeight="1">
      <c r="A8" s="18" t="s">
        <v>3601</v>
      </c>
      <c r="B8" s="16" t="str">
        <f>IMAGE("https://lmztiles.s3.eu-west-1.amazonaws.com/Modern_Interiors_v41.3.4/1_Interiors/16x16/Theme_Sorter_Singles/18_Jail_Singles/Jail_Singles_8.png")</f>
        <v/>
      </c>
    </row>
    <row r="9" ht="34.5" customHeight="1">
      <c r="A9" s="18" t="s">
        <v>3602</v>
      </c>
      <c r="B9" s="16" t="str">
        <f>IMAGE("https://lmztiles.s3.eu-west-1.amazonaws.com/Modern_Interiors_v41.3.4/1_Interiors/16x16/Theme_Sorter_Singles/18_Jail_Singles/Jail_Singles_9.png")</f>
        <v/>
      </c>
    </row>
    <row r="10" ht="34.5" customHeight="1">
      <c r="A10" s="18" t="s">
        <v>3603</v>
      </c>
      <c r="B10" s="16" t="str">
        <f>IMAGE("https://lmztiles.s3.eu-west-1.amazonaws.com/Modern_Interiors_v41.3.4/1_Interiors/16x16/Theme_Sorter_Singles/18_Jail_Singles/Jail_Singles_10.png")</f>
        <v/>
      </c>
    </row>
    <row r="11" ht="34.5" customHeight="1">
      <c r="A11" s="18" t="s">
        <v>3604</v>
      </c>
      <c r="B11" s="16" t="str">
        <f>IMAGE("https://lmztiles.s3.eu-west-1.amazonaws.com/Modern_Interiors_v41.3.4/1_Interiors/16x16/Theme_Sorter_Singles/18_Jail_Singles/Jail_Singles_11.png")</f>
        <v/>
      </c>
    </row>
    <row r="12" ht="34.5" customHeight="1">
      <c r="A12" s="18" t="s">
        <v>3605</v>
      </c>
      <c r="B12" s="16" t="str">
        <f>IMAGE("https://lmztiles.s3.eu-west-1.amazonaws.com/Modern_Interiors_v41.3.4/1_Interiors/16x16/Theme_Sorter_Singles/18_Jail_Singles/Jail_Singles_12.png")</f>
        <v/>
      </c>
    </row>
    <row r="13" ht="34.5" customHeight="1">
      <c r="A13" s="18" t="s">
        <v>3606</v>
      </c>
      <c r="B13" s="16" t="str">
        <f>IMAGE("https://lmztiles.s3.eu-west-1.amazonaws.com/Modern_Interiors_v41.3.4/1_Interiors/16x16/Theme_Sorter_Singles/18_Jail_Singles/Jail_Singles_13.png")</f>
        <v/>
      </c>
    </row>
    <row r="14" ht="34.5" customHeight="1">
      <c r="A14" s="18" t="s">
        <v>3607</v>
      </c>
      <c r="B14" s="16" t="str">
        <f>IMAGE("https://lmztiles.s3.eu-west-1.amazonaws.com/Modern_Interiors_v41.3.4/1_Interiors/16x16/Theme_Sorter_Singles/18_Jail_Singles/Jail_Singles_14.png")</f>
        <v/>
      </c>
    </row>
    <row r="15" ht="34.5" customHeight="1">
      <c r="A15" s="18" t="s">
        <v>3608</v>
      </c>
      <c r="B15" s="16" t="str">
        <f>IMAGE("https://lmztiles.s3.eu-west-1.amazonaws.com/Modern_Interiors_v41.3.4/1_Interiors/16x16/Theme_Sorter_Singles/18_Jail_Singles/Jail_Singles_15.png")</f>
        <v/>
      </c>
    </row>
    <row r="16" ht="34.5" customHeight="1">
      <c r="A16" s="18" t="s">
        <v>3609</v>
      </c>
      <c r="B16" s="16" t="str">
        <f>IMAGE("https://lmztiles.s3.eu-west-1.amazonaws.com/Modern_Interiors_v41.3.4/1_Interiors/16x16/Theme_Sorter_Singles/18_Jail_Singles/Jail_Singles_16.png")</f>
        <v/>
      </c>
    </row>
    <row r="17" ht="34.5" customHeight="1">
      <c r="A17" s="18" t="s">
        <v>3610</v>
      </c>
      <c r="B17" s="16" t="str">
        <f>IMAGE("https://lmztiles.s3.eu-west-1.amazonaws.com/Modern_Interiors_v41.3.4/1_Interiors/16x16/Theme_Sorter_Singles/18_Jail_Singles/Jail_Singles_17.png")</f>
        <v/>
      </c>
    </row>
    <row r="18" ht="34.5" customHeight="1">
      <c r="A18" s="18" t="s">
        <v>3611</v>
      </c>
      <c r="B18" s="16" t="str">
        <f>IMAGE("https://lmztiles.s3.eu-west-1.amazonaws.com/Modern_Interiors_v41.3.4/1_Interiors/16x16/Theme_Sorter_Singles/18_Jail_Singles/Jail_Singles_18.png")</f>
        <v/>
      </c>
    </row>
    <row r="19" ht="34.5" customHeight="1">
      <c r="A19" s="18" t="s">
        <v>3612</v>
      </c>
      <c r="B19" s="16" t="str">
        <f>IMAGE("https://lmztiles.s3.eu-west-1.amazonaws.com/Modern_Interiors_v41.3.4/1_Interiors/16x16/Theme_Sorter_Singles/18_Jail_Singles/Jail_Singles_19.png")</f>
        <v/>
      </c>
    </row>
    <row r="20" ht="34.5" customHeight="1">
      <c r="A20" s="18" t="s">
        <v>3613</v>
      </c>
      <c r="B20" s="16" t="str">
        <f>IMAGE("https://lmztiles.s3.eu-west-1.amazonaws.com/Modern_Interiors_v41.3.4/1_Interiors/16x16/Theme_Sorter_Singles/18_Jail_Singles/Jail_Singles_20.png")</f>
        <v/>
      </c>
    </row>
    <row r="21" ht="34.5" customHeight="1">
      <c r="A21" s="18" t="s">
        <v>3614</v>
      </c>
      <c r="B21" s="16" t="str">
        <f>IMAGE("https://lmztiles.s3.eu-west-1.amazonaws.com/Modern_Interiors_v41.3.4/1_Interiors/16x16/Theme_Sorter_Singles/18_Jail_Singles/Jail_Singles_21.png")</f>
        <v/>
      </c>
    </row>
    <row r="22" ht="34.5" customHeight="1">
      <c r="A22" s="18" t="s">
        <v>3615</v>
      </c>
      <c r="B22" s="16" t="str">
        <f>IMAGE("https://lmztiles.s3.eu-west-1.amazonaws.com/Modern_Interiors_v41.3.4/1_Interiors/16x16/Theme_Sorter_Singles/18_Jail_Singles/Jail_Singles_22.png")</f>
        <v/>
      </c>
    </row>
    <row r="23" ht="34.5" customHeight="1">
      <c r="A23" s="18" t="s">
        <v>3616</v>
      </c>
      <c r="B23" s="16" t="str">
        <f>IMAGE("https://lmztiles.s3.eu-west-1.amazonaws.com/Modern_Interiors_v41.3.4/1_Interiors/16x16/Theme_Sorter_Singles/18_Jail_Singles/Jail_Singles_23.png")</f>
        <v/>
      </c>
    </row>
    <row r="24" ht="34.5" customHeight="1">
      <c r="A24" s="18" t="s">
        <v>3617</v>
      </c>
      <c r="B24" s="16" t="str">
        <f>IMAGE("https://lmztiles.s3.eu-west-1.amazonaws.com/Modern_Interiors_v41.3.4/1_Interiors/16x16/Theme_Sorter_Singles/18_Jail_Singles/Jail_Singles_24.png")</f>
        <v/>
      </c>
    </row>
    <row r="25" ht="34.5" customHeight="1">
      <c r="A25" s="18" t="s">
        <v>3618</v>
      </c>
      <c r="B25" s="16" t="str">
        <f>IMAGE("https://lmztiles.s3.eu-west-1.amazonaws.com/Modern_Interiors_v41.3.4/1_Interiors/16x16/Theme_Sorter_Singles/18_Jail_Singles/Jail_Singles_25.png")</f>
        <v/>
      </c>
    </row>
    <row r="26" ht="34.5" customHeight="1">
      <c r="A26" s="18" t="s">
        <v>3619</v>
      </c>
      <c r="B26" s="16" t="str">
        <f>IMAGE("https://lmztiles.s3.eu-west-1.amazonaws.com/Modern_Interiors_v41.3.4/1_Interiors/16x16/Theme_Sorter_Singles/18_Jail_Singles/Jail_Singles_26.png")</f>
        <v/>
      </c>
    </row>
    <row r="27" ht="34.5" customHeight="1">
      <c r="A27" s="18" t="s">
        <v>3620</v>
      </c>
      <c r="B27" s="16" t="str">
        <f>IMAGE("https://lmztiles.s3.eu-west-1.amazonaws.com/Modern_Interiors_v41.3.4/1_Interiors/16x16/Theme_Sorter_Singles/18_Jail_Singles/Jail_Singles_27.png")</f>
        <v/>
      </c>
    </row>
    <row r="28" ht="34.5" customHeight="1">
      <c r="A28" s="18" t="s">
        <v>3621</v>
      </c>
      <c r="B28" s="16" t="str">
        <f>IMAGE("https://lmztiles.s3.eu-west-1.amazonaws.com/Modern_Interiors_v41.3.4/1_Interiors/16x16/Theme_Sorter_Singles/18_Jail_Singles/Jail_Singles_28.png")</f>
        <v/>
      </c>
    </row>
    <row r="29" ht="34.5" customHeight="1">
      <c r="A29" s="18" t="s">
        <v>3622</v>
      </c>
      <c r="B29" s="16" t="str">
        <f>IMAGE("https://lmztiles.s3.eu-west-1.amazonaws.com/Modern_Interiors_v41.3.4/1_Interiors/16x16/Theme_Sorter_Singles/18_Jail_Singles/Jail_Singles_29.png")</f>
        <v/>
      </c>
    </row>
    <row r="30" ht="34.5" customHeight="1">
      <c r="A30" s="18" t="s">
        <v>3623</v>
      </c>
      <c r="B30" s="16" t="str">
        <f>IMAGE("https://lmztiles.s3.eu-west-1.amazonaws.com/Modern_Interiors_v41.3.4/1_Interiors/16x16/Theme_Sorter_Singles/18_Jail_Singles/Jail_Singles_30.png")</f>
        <v/>
      </c>
    </row>
    <row r="31" ht="34.5" customHeight="1">
      <c r="A31" s="18" t="s">
        <v>3624</v>
      </c>
      <c r="B31" s="16" t="str">
        <f>IMAGE("https://lmztiles.s3.eu-west-1.amazonaws.com/Modern_Interiors_v41.3.4/1_Interiors/16x16/Theme_Sorter_Singles/18_Jail_Singles/Jail_Singles_31.png")</f>
        <v/>
      </c>
    </row>
    <row r="32" ht="34.5" customHeight="1">
      <c r="A32" s="18" t="s">
        <v>3625</v>
      </c>
      <c r="B32" s="16" t="str">
        <f>IMAGE("https://lmztiles.s3.eu-west-1.amazonaws.com/Modern_Interiors_v41.3.4/1_Interiors/16x16/Theme_Sorter_Singles/18_Jail_Singles/Jail_Singles_32.png")</f>
        <v/>
      </c>
    </row>
    <row r="33" ht="34.5" customHeight="1">
      <c r="A33" s="18" t="s">
        <v>3626</v>
      </c>
      <c r="B33" s="16" t="str">
        <f>IMAGE("https://lmztiles.s3.eu-west-1.amazonaws.com/Modern_Interiors_v41.3.4/1_Interiors/16x16/Theme_Sorter_Singles/18_Jail_Singles/Jail_Singles_33.png")</f>
        <v/>
      </c>
    </row>
    <row r="34" ht="34.5" customHeight="1">
      <c r="A34" s="18" t="s">
        <v>3627</v>
      </c>
      <c r="B34" s="16" t="str">
        <f>IMAGE("https://lmztiles.s3.eu-west-1.amazonaws.com/Modern_Interiors_v41.3.4/1_Interiors/16x16/Theme_Sorter_Singles/18_Jail_Singles/Jail_Singles_34.png")</f>
        <v/>
      </c>
    </row>
    <row r="35" ht="34.5" customHeight="1">
      <c r="A35" s="18" t="s">
        <v>3628</v>
      </c>
      <c r="B35" s="16" t="str">
        <f>IMAGE("https://lmztiles.s3.eu-west-1.amazonaws.com/Modern_Interiors_v41.3.4/1_Interiors/16x16/Theme_Sorter_Singles/18_Jail_Singles/Jail_Singles_35.png")</f>
        <v/>
      </c>
    </row>
    <row r="36" ht="34.5" customHeight="1">
      <c r="A36" s="18" t="s">
        <v>3629</v>
      </c>
      <c r="B36" s="16" t="str">
        <f>IMAGE("https://lmztiles.s3.eu-west-1.amazonaws.com/Modern_Interiors_v41.3.4/1_Interiors/16x16/Theme_Sorter_Singles/18_Jail_Singles/Jail_Singles_36.png")</f>
        <v/>
      </c>
    </row>
    <row r="37" ht="34.5" customHeight="1">
      <c r="A37" s="18" t="s">
        <v>3630</v>
      </c>
      <c r="B37" s="16" t="str">
        <f>IMAGE("https://lmztiles.s3.eu-west-1.amazonaws.com/Modern_Interiors_v41.3.4/1_Interiors/16x16/Theme_Sorter_Singles/18_Jail_Singles/Jail_Singles_37.png")</f>
        <v/>
      </c>
    </row>
    <row r="38" ht="34.5" customHeight="1">
      <c r="A38" s="18" t="s">
        <v>3631</v>
      </c>
      <c r="B38" s="16" t="str">
        <f>IMAGE("https://lmztiles.s3.eu-west-1.amazonaws.com/Modern_Interiors_v41.3.4/1_Interiors/16x16/Theme_Sorter_Singles/18_Jail_Singles/Jail_Singles_38.png")</f>
        <v/>
      </c>
    </row>
    <row r="39" ht="34.5" customHeight="1">
      <c r="A39" s="18" t="s">
        <v>3632</v>
      </c>
      <c r="B39" s="16" t="str">
        <f>IMAGE("https://lmztiles.s3.eu-west-1.amazonaws.com/Modern_Interiors_v41.3.4/1_Interiors/16x16/Theme_Sorter_Singles/18_Jail_Singles/Jail_Singles_39.png")</f>
        <v/>
      </c>
    </row>
    <row r="40" ht="34.5" customHeight="1">
      <c r="A40" s="18" t="s">
        <v>3633</v>
      </c>
      <c r="B40" s="16" t="str">
        <f>IMAGE("https://lmztiles.s3.eu-west-1.amazonaws.com/Modern_Interiors_v41.3.4/1_Interiors/16x16/Theme_Sorter_Singles/18_Jail_Singles/Jail_Singles_40.png")</f>
        <v/>
      </c>
    </row>
    <row r="41" ht="34.5" customHeight="1">
      <c r="A41" s="18" t="s">
        <v>3634</v>
      </c>
      <c r="B41" s="16" t="str">
        <f>IMAGE("https://lmztiles.s3.eu-west-1.amazonaws.com/Modern_Interiors_v41.3.4/1_Interiors/16x16/Theme_Sorter_Singles/18_Jail_Singles/Jail_Singles_41.png")</f>
        <v/>
      </c>
    </row>
    <row r="42" ht="34.5" customHeight="1">
      <c r="A42" s="18" t="s">
        <v>3635</v>
      </c>
      <c r="B42" s="16" t="str">
        <f>IMAGE("https://lmztiles.s3.eu-west-1.amazonaws.com/Modern_Interiors_v41.3.4/1_Interiors/16x16/Theme_Sorter_Singles/18_Jail_Singles/Jail_Singles_42.png")</f>
        <v/>
      </c>
    </row>
    <row r="43" ht="34.5" customHeight="1">
      <c r="A43" s="18" t="s">
        <v>3636</v>
      </c>
      <c r="B43" s="16" t="str">
        <f>IMAGE("https://lmztiles.s3.eu-west-1.amazonaws.com/Modern_Interiors_v41.3.4/1_Interiors/16x16/Theme_Sorter_Singles/18_Jail_Singles/Jail_Singles_43.png")</f>
        <v/>
      </c>
    </row>
    <row r="44" ht="34.5" customHeight="1">
      <c r="A44" s="18" t="s">
        <v>3637</v>
      </c>
      <c r="B44" s="16" t="str">
        <f>IMAGE("https://lmztiles.s3.eu-west-1.amazonaws.com/Modern_Interiors_v41.3.4/1_Interiors/16x16/Theme_Sorter_Singles/18_Jail_Singles/Jail_Singles_44.png")</f>
        <v/>
      </c>
    </row>
    <row r="45" ht="34.5" customHeight="1">
      <c r="A45" s="18" t="s">
        <v>3638</v>
      </c>
      <c r="B45" s="16" t="str">
        <f>IMAGE("https://lmztiles.s3.eu-west-1.amazonaws.com/Modern_Interiors_v41.3.4/1_Interiors/16x16/Theme_Sorter_Singles/18_Jail_Singles/Jail_Singles_45.png")</f>
        <v/>
      </c>
    </row>
    <row r="46" ht="34.5" customHeight="1">
      <c r="A46" s="18" t="s">
        <v>3639</v>
      </c>
      <c r="B46" s="16" t="str">
        <f>IMAGE("https://lmztiles.s3.eu-west-1.amazonaws.com/Modern_Interiors_v41.3.4/1_Interiors/16x16/Theme_Sorter_Singles/18_Jail_Singles/Jail_Singles_46.png")</f>
        <v/>
      </c>
    </row>
    <row r="47" ht="34.5" customHeight="1">
      <c r="A47" s="18" t="s">
        <v>3640</v>
      </c>
      <c r="B47" s="16" t="str">
        <f>IMAGE("https://lmztiles.s3.eu-west-1.amazonaws.com/Modern_Interiors_v41.3.4/1_Interiors/16x16/Theme_Sorter_Singles/18_Jail_Singles/Jail_Singles_47.png")</f>
        <v/>
      </c>
    </row>
    <row r="48" ht="34.5" customHeight="1">
      <c r="A48" s="18" t="s">
        <v>3641</v>
      </c>
      <c r="B48" s="16" t="str">
        <f>IMAGE("https://lmztiles.s3.eu-west-1.amazonaws.com/Modern_Interiors_v41.3.4/1_Interiors/16x16/Theme_Sorter_Singles/18_Jail_Singles/Jail_Singles_48.png")</f>
        <v/>
      </c>
    </row>
    <row r="49" ht="34.5" customHeight="1">
      <c r="A49" s="18" t="s">
        <v>3642</v>
      </c>
      <c r="B49" s="16" t="str">
        <f>IMAGE("https://lmztiles.s3.eu-west-1.amazonaws.com/Modern_Interiors_v41.3.4/1_Interiors/16x16/Theme_Sorter_Singles/18_Jail_Singles/Jail_Singles_49.png")</f>
        <v/>
      </c>
    </row>
    <row r="50" ht="34.5" customHeight="1">
      <c r="A50" s="18" t="s">
        <v>3643</v>
      </c>
      <c r="B50" s="16" t="str">
        <f>IMAGE("https://lmztiles.s3.eu-west-1.amazonaws.com/Modern_Interiors_v41.3.4/1_Interiors/16x16/Theme_Sorter_Singles/18_Jail_Singles/Jail_Singles_50.png")</f>
        <v/>
      </c>
    </row>
    <row r="51" ht="34.5" customHeight="1">
      <c r="A51" s="18" t="s">
        <v>3644</v>
      </c>
      <c r="B51" s="16" t="str">
        <f>IMAGE("https://lmztiles.s3.eu-west-1.amazonaws.com/Modern_Interiors_v41.3.4/1_Interiors/16x16/Theme_Sorter_Singles/18_Jail_Singles/Jail_Singles_51.png")</f>
        <v/>
      </c>
    </row>
    <row r="52" ht="34.5" customHeight="1">
      <c r="A52" s="18" t="s">
        <v>3645</v>
      </c>
      <c r="B52" s="16" t="str">
        <f>IMAGE("https://lmztiles.s3.eu-west-1.amazonaws.com/Modern_Interiors_v41.3.4/1_Interiors/16x16/Theme_Sorter_Singles/18_Jail_Singles/Jail_Singles_52.png")</f>
        <v/>
      </c>
    </row>
    <row r="53" ht="34.5" customHeight="1">
      <c r="A53" s="18" t="s">
        <v>3646</v>
      </c>
      <c r="B53" s="16" t="str">
        <f>IMAGE("https://lmztiles.s3.eu-west-1.amazonaws.com/Modern_Interiors_v41.3.4/1_Interiors/16x16/Theme_Sorter_Singles/18_Jail_Singles/Jail_Singles_53.png")</f>
        <v/>
      </c>
    </row>
    <row r="54" ht="34.5" customHeight="1">
      <c r="A54" s="18" t="s">
        <v>3647</v>
      </c>
      <c r="B54" s="16" t="str">
        <f>IMAGE("https://lmztiles.s3.eu-west-1.amazonaws.com/Modern_Interiors_v41.3.4/1_Interiors/16x16/Theme_Sorter_Singles/18_Jail_Singles/Jail_Singles_54.png")</f>
        <v/>
      </c>
    </row>
    <row r="55" ht="34.5" customHeight="1">
      <c r="A55" s="18" t="s">
        <v>3648</v>
      </c>
      <c r="B55" s="16" t="str">
        <f>IMAGE("https://lmztiles.s3.eu-west-1.amazonaws.com/Modern_Interiors_v41.3.4/1_Interiors/16x16/Theme_Sorter_Singles/18_Jail_Singles/Jail_Singles_55.png")</f>
        <v/>
      </c>
    </row>
    <row r="56" ht="34.5" customHeight="1">
      <c r="A56" s="18" t="s">
        <v>3649</v>
      </c>
      <c r="B56" s="16" t="str">
        <f>IMAGE("https://lmztiles.s3.eu-west-1.amazonaws.com/Modern_Interiors_v41.3.4/1_Interiors/16x16/Theme_Sorter_Singles/18_Jail_Singles/Jail_Singles_56.png")</f>
        <v/>
      </c>
    </row>
    <row r="57" ht="34.5" customHeight="1">
      <c r="A57" s="18" t="s">
        <v>3650</v>
      </c>
      <c r="B57" s="16" t="str">
        <f>IMAGE("https://lmztiles.s3.eu-west-1.amazonaws.com/Modern_Interiors_v41.3.4/1_Interiors/16x16/Theme_Sorter_Singles/18_Jail_Singles/Jail_Singles_57.png")</f>
        <v/>
      </c>
    </row>
    <row r="58" ht="34.5" customHeight="1">
      <c r="A58" s="18" t="s">
        <v>3651</v>
      </c>
      <c r="B58" s="16" t="str">
        <f>IMAGE("https://lmztiles.s3.eu-west-1.amazonaws.com/Modern_Interiors_v41.3.4/1_Interiors/16x16/Theme_Sorter_Singles/18_Jail_Singles/Jail_Singles_58.png")</f>
        <v/>
      </c>
    </row>
    <row r="59" ht="34.5" customHeight="1">
      <c r="A59" s="18" t="s">
        <v>3652</v>
      </c>
      <c r="B59" s="16" t="str">
        <f>IMAGE("https://lmztiles.s3.eu-west-1.amazonaws.com/Modern_Interiors_v41.3.4/1_Interiors/16x16/Theme_Sorter_Singles/18_Jail_Singles/Jail_Singles_59.png")</f>
        <v/>
      </c>
    </row>
    <row r="60" ht="34.5" customHeight="1">
      <c r="A60" s="18" t="s">
        <v>3653</v>
      </c>
      <c r="B60" s="16" t="str">
        <f>IMAGE("https://lmztiles.s3.eu-west-1.amazonaws.com/Modern_Interiors_v41.3.4/1_Interiors/16x16/Theme_Sorter_Singles/18_Jail_Singles/Jail_Singles_60.png")</f>
        <v/>
      </c>
    </row>
    <row r="61" ht="34.5" customHeight="1">
      <c r="A61" s="18" t="s">
        <v>3654</v>
      </c>
      <c r="B61" s="16" t="str">
        <f>IMAGE("https://lmztiles.s3.eu-west-1.amazonaws.com/Modern_Interiors_v41.3.4/1_Interiors/16x16/Theme_Sorter_Singles/18_Jail_Singles/Jail_Singles_61.png")</f>
        <v/>
      </c>
    </row>
    <row r="62" ht="34.5" customHeight="1">
      <c r="A62" s="18" t="s">
        <v>3655</v>
      </c>
      <c r="B62" s="16" t="str">
        <f>IMAGE("https://lmztiles.s3.eu-west-1.amazonaws.com/Modern_Interiors_v41.3.4/1_Interiors/16x16/Theme_Sorter_Singles/18_Jail_Singles/Jail_Singles_62.png")</f>
        <v/>
      </c>
    </row>
    <row r="63" ht="34.5" customHeight="1">
      <c r="A63" s="18" t="s">
        <v>3656</v>
      </c>
      <c r="B63" s="16" t="str">
        <f>IMAGE("https://lmztiles.s3.eu-west-1.amazonaws.com/Modern_Interiors_v41.3.4/1_Interiors/16x16/Theme_Sorter_Singles/18_Jail_Singles/Jail_Singles_63.png")</f>
        <v/>
      </c>
    </row>
    <row r="64" ht="34.5" customHeight="1">
      <c r="A64" s="18" t="s">
        <v>3657</v>
      </c>
      <c r="B64" s="16" t="str">
        <f>IMAGE("https://lmztiles.s3.eu-west-1.amazonaws.com/Modern_Interiors_v41.3.4/1_Interiors/16x16/Theme_Sorter_Singles/18_Jail_Singles/Jail_Singles_64.png")</f>
        <v/>
      </c>
    </row>
    <row r="65" ht="34.5" customHeight="1">
      <c r="A65" s="18" t="s">
        <v>3658</v>
      </c>
      <c r="B65" s="16" t="str">
        <f>IMAGE("https://lmztiles.s3.eu-west-1.amazonaws.com/Modern_Interiors_v41.3.4/1_Interiors/16x16/Theme_Sorter_Singles/18_Jail_Singles/Jail_Singles_65.png")</f>
        <v/>
      </c>
    </row>
    <row r="66" ht="34.5" customHeight="1">
      <c r="A66" s="18" t="s">
        <v>3659</v>
      </c>
      <c r="B66" s="16" t="str">
        <f>IMAGE("https://lmztiles.s3.eu-west-1.amazonaws.com/Modern_Interiors_v41.3.4/1_Interiors/16x16/Theme_Sorter_Singles/18_Jail_Singles/Jail_Singles_66.png")</f>
        <v/>
      </c>
    </row>
    <row r="67" ht="34.5" customHeight="1">
      <c r="A67" s="18" t="s">
        <v>3660</v>
      </c>
      <c r="B67" s="16" t="str">
        <f>IMAGE("https://lmztiles.s3.eu-west-1.amazonaws.com/Modern_Interiors_v41.3.4/1_Interiors/16x16/Theme_Sorter_Singles/18_Jail_Singles/Jail_Singles_67.png")</f>
        <v/>
      </c>
    </row>
    <row r="68" ht="34.5" customHeight="1">
      <c r="A68" s="18" t="s">
        <v>3661</v>
      </c>
      <c r="B68" s="16" t="str">
        <f>IMAGE("https://lmztiles.s3.eu-west-1.amazonaws.com/Modern_Interiors_v41.3.4/1_Interiors/16x16/Theme_Sorter_Singles/18_Jail_Singles/Jail_Singles_68.png")</f>
        <v/>
      </c>
    </row>
    <row r="69" ht="34.5" customHeight="1">
      <c r="A69" s="18" t="s">
        <v>3662</v>
      </c>
      <c r="B69" s="16" t="str">
        <f>IMAGE("https://lmztiles.s3.eu-west-1.amazonaws.com/Modern_Interiors_v41.3.4/1_Interiors/16x16/Theme_Sorter_Singles/18_Jail_Singles/Jail_Singles_69.png")</f>
        <v/>
      </c>
    </row>
    <row r="70" ht="34.5" customHeight="1">
      <c r="A70" s="18" t="s">
        <v>3663</v>
      </c>
      <c r="B70" s="16" t="str">
        <f>IMAGE("https://lmztiles.s3.eu-west-1.amazonaws.com/Modern_Interiors_v41.3.4/1_Interiors/16x16/Theme_Sorter_Singles/18_Jail_Singles/Jail_Singles_70.png")</f>
        <v/>
      </c>
    </row>
    <row r="71" ht="34.5" customHeight="1">
      <c r="A71" s="18" t="s">
        <v>3664</v>
      </c>
      <c r="B71" s="16" t="str">
        <f>IMAGE("https://lmztiles.s3.eu-west-1.amazonaws.com/Modern_Interiors_v41.3.4/1_Interiors/16x16/Theme_Sorter_Singles/18_Jail_Singles/Jail_Singles_71.png")</f>
        <v/>
      </c>
    </row>
    <row r="72" ht="34.5" customHeight="1">
      <c r="A72" s="18" t="s">
        <v>3665</v>
      </c>
      <c r="B72" s="16" t="str">
        <f>IMAGE("https://lmztiles.s3.eu-west-1.amazonaws.com/Modern_Interiors_v41.3.4/1_Interiors/16x16/Theme_Sorter_Singles/18_Jail_Singles/Jail_Singles_72.png")</f>
        <v/>
      </c>
    </row>
    <row r="73" ht="34.5" customHeight="1">
      <c r="A73" s="18" t="s">
        <v>3666</v>
      </c>
      <c r="B73" s="16" t="str">
        <f>IMAGE("https://lmztiles.s3.eu-west-1.amazonaws.com/Modern_Interiors_v41.3.4/1_Interiors/16x16/Theme_Sorter_Singles/18_Jail_Singles/Jail_Singles_73.png")</f>
        <v/>
      </c>
    </row>
    <row r="74" ht="34.5" customHeight="1">
      <c r="A74" s="18" t="s">
        <v>3667</v>
      </c>
      <c r="B74" s="16" t="str">
        <f>IMAGE("https://lmztiles.s3.eu-west-1.amazonaws.com/Modern_Interiors_v41.3.4/1_Interiors/16x16/Theme_Sorter_Singles/18_Jail_Singles/Jail_Singles_74.png")</f>
        <v/>
      </c>
    </row>
    <row r="75" ht="34.5" customHeight="1">
      <c r="A75" s="18" t="s">
        <v>3668</v>
      </c>
      <c r="B75" s="16" t="str">
        <f>IMAGE("https://lmztiles.s3.eu-west-1.amazonaws.com/Modern_Interiors_v41.3.4/1_Interiors/16x16/Theme_Sorter_Singles/18_Jail_Singles/Jail_Singles_75.png")</f>
        <v/>
      </c>
    </row>
    <row r="76" ht="34.5" customHeight="1">
      <c r="A76" s="18" t="s">
        <v>3669</v>
      </c>
      <c r="B76" s="16" t="str">
        <f>IMAGE("https://lmztiles.s3.eu-west-1.amazonaws.com/Modern_Interiors_v41.3.4/1_Interiors/16x16/Theme_Sorter_Singles/18_Jail_Singles/Jail_Singles_76.png")</f>
        <v/>
      </c>
    </row>
    <row r="77" ht="34.5" customHeight="1">
      <c r="A77" s="18" t="s">
        <v>3670</v>
      </c>
      <c r="B77" s="16" t="str">
        <f>IMAGE("https://lmztiles.s3.eu-west-1.amazonaws.com/Modern_Interiors_v41.3.4/1_Interiors/16x16/Theme_Sorter_Singles/18_Jail_Singles/Jail_Singles_77.png")</f>
        <v/>
      </c>
    </row>
    <row r="78" ht="34.5" customHeight="1">
      <c r="A78" s="18" t="s">
        <v>3671</v>
      </c>
      <c r="B78" s="16" t="str">
        <f>IMAGE("https://lmztiles.s3.eu-west-1.amazonaws.com/Modern_Interiors_v41.3.4/1_Interiors/16x16/Theme_Sorter_Singles/18_Jail_Singles/Jail_Singles_78.png")</f>
        <v/>
      </c>
    </row>
    <row r="79" ht="34.5" customHeight="1">
      <c r="A79" s="18" t="s">
        <v>3672</v>
      </c>
      <c r="B79" s="16" t="str">
        <f>IMAGE("https://lmztiles.s3.eu-west-1.amazonaws.com/Modern_Interiors_v41.3.4/1_Interiors/16x16/Theme_Sorter_Singles/18_Jail_Singles/Jail_Singles_79.png")</f>
        <v/>
      </c>
    </row>
    <row r="80" ht="34.5" customHeight="1">
      <c r="A80" s="18" t="s">
        <v>3673</v>
      </c>
      <c r="B80" s="16" t="str">
        <f>IMAGE("https://lmztiles.s3.eu-west-1.amazonaws.com/Modern_Interiors_v41.3.4/1_Interiors/16x16/Theme_Sorter_Singles/18_Jail_Singles/Jail_Singles_80.png")</f>
        <v/>
      </c>
    </row>
    <row r="81" ht="34.5" customHeight="1">
      <c r="A81" s="18" t="s">
        <v>3674</v>
      </c>
      <c r="B81" s="16" t="str">
        <f>IMAGE("https://lmztiles.s3.eu-west-1.amazonaws.com/Modern_Interiors_v41.3.4/1_Interiors/16x16/Theme_Sorter_Singles/18_Jail_Singles/Jail_Singles_81.png")</f>
        <v/>
      </c>
    </row>
    <row r="82" ht="34.5" customHeight="1">
      <c r="A82" s="18" t="s">
        <v>3675</v>
      </c>
      <c r="B82" s="16" t="str">
        <f>IMAGE("https://lmztiles.s3.eu-west-1.amazonaws.com/Modern_Interiors_v41.3.4/1_Interiors/16x16/Theme_Sorter_Singles/18_Jail_Singles/Jail_Singles_82.png")</f>
        <v/>
      </c>
    </row>
    <row r="83" ht="34.5" customHeight="1">
      <c r="A83" s="18" t="s">
        <v>3676</v>
      </c>
      <c r="B83" s="16" t="str">
        <f>IMAGE("https://lmztiles.s3.eu-west-1.amazonaws.com/Modern_Interiors_v41.3.4/1_Interiors/16x16/Theme_Sorter_Singles/18_Jail_Singles/Jail_Singles_83.png")</f>
        <v/>
      </c>
    </row>
    <row r="84" ht="34.5" customHeight="1">
      <c r="A84" s="18" t="s">
        <v>3677</v>
      </c>
      <c r="B84" s="16" t="str">
        <f>IMAGE("https://lmztiles.s3.eu-west-1.amazonaws.com/Modern_Interiors_v41.3.4/1_Interiors/16x16/Theme_Sorter_Singles/18_Jail_Singles/Jail_Singles_84.png")</f>
        <v/>
      </c>
    </row>
    <row r="85" ht="34.5" customHeight="1">
      <c r="A85" s="18" t="s">
        <v>3678</v>
      </c>
      <c r="B85" s="16" t="str">
        <f>IMAGE("https://lmztiles.s3.eu-west-1.amazonaws.com/Modern_Interiors_v41.3.4/1_Interiors/16x16/Theme_Sorter_Singles/18_Jail_Singles/Jail_Singles_85.png")</f>
        <v/>
      </c>
    </row>
    <row r="86" ht="34.5" customHeight="1">
      <c r="A86" s="18" t="s">
        <v>3679</v>
      </c>
      <c r="B86" s="16" t="str">
        <f>IMAGE("https://lmztiles.s3.eu-west-1.amazonaws.com/Modern_Interiors_v41.3.4/1_Interiors/16x16/Theme_Sorter_Singles/18_Jail_Singles/Jail_Singles_86.png")</f>
        <v/>
      </c>
    </row>
    <row r="87" ht="34.5" customHeight="1">
      <c r="A87" s="18" t="s">
        <v>3680</v>
      </c>
      <c r="B87" s="16" t="str">
        <f>IMAGE("https://lmztiles.s3.eu-west-1.amazonaws.com/Modern_Interiors_v41.3.4/1_Interiors/16x16/Theme_Sorter_Singles/18_Jail_Singles/Jail_Singles_87.png")</f>
        <v/>
      </c>
    </row>
    <row r="88" ht="34.5" customHeight="1">
      <c r="A88" s="18" t="s">
        <v>3681</v>
      </c>
      <c r="B88" s="16" t="str">
        <f>IMAGE("https://lmztiles.s3.eu-west-1.amazonaws.com/Modern_Interiors_v41.3.4/1_Interiors/16x16/Theme_Sorter_Singles/18_Jail_Singles/Jail_Singles_88.png")</f>
        <v/>
      </c>
    </row>
    <row r="89" ht="34.5" customHeight="1">
      <c r="A89" s="18" t="s">
        <v>3682</v>
      </c>
      <c r="B89" s="16" t="str">
        <f>IMAGE("https://lmztiles.s3.eu-west-1.amazonaws.com/Modern_Interiors_v41.3.4/1_Interiors/16x16/Theme_Sorter_Singles/18_Jail_Singles/Jail_Singles_89.png")</f>
        <v/>
      </c>
    </row>
    <row r="90" ht="34.5" customHeight="1">
      <c r="A90" s="18" t="s">
        <v>3683</v>
      </c>
      <c r="B90" s="16" t="str">
        <f>IMAGE("https://lmztiles.s3.eu-west-1.amazonaws.com/Modern_Interiors_v41.3.4/1_Interiors/16x16/Theme_Sorter_Singles/18_Jail_Singles/Jail_Singles_90.png")</f>
        <v/>
      </c>
    </row>
    <row r="91" ht="34.5" customHeight="1">
      <c r="A91" s="18" t="s">
        <v>3684</v>
      </c>
      <c r="B91" s="16" t="str">
        <f>IMAGE("https://lmztiles.s3.eu-west-1.amazonaws.com/Modern_Interiors_v41.3.4/1_Interiors/16x16/Theme_Sorter_Singles/18_Jail_Singles/Jail_Singles_91.png")</f>
        <v/>
      </c>
    </row>
    <row r="92" ht="34.5" customHeight="1">
      <c r="A92" s="18" t="s">
        <v>3685</v>
      </c>
      <c r="B92" s="16" t="str">
        <f>IMAGE("https://lmztiles.s3.eu-west-1.amazonaws.com/Modern_Interiors_v41.3.4/1_Interiors/16x16/Theme_Sorter_Singles/18_Jail_Singles/Jail_Singles_92.png")</f>
        <v/>
      </c>
    </row>
    <row r="93" ht="34.5" customHeight="1">
      <c r="A93" s="18" t="s">
        <v>3686</v>
      </c>
      <c r="B93" s="16" t="str">
        <f>IMAGE("https://lmztiles.s3.eu-west-1.amazonaws.com/Modern_Interiors_v41.3.4/1_Interiors/16x16/Theme_Sorter_Singles/18_Jail_Singles/Jail_Singles_93.png")</f>
        <v/>
      </c>
    </row>
    <row r="94" ht="34.5" customHeight="1">
      <c r="A94" s="18" t="s">
        <v>3687</v>
      </c>
      <c r="B94" s="16" t="str">
        <f>IMAGE("https://lmztiles.s3.eu-west-1.amazonaws.com/Modern_Interiors_v41.3.4/1_Interiors/16x16/Theme_Sorter_Singles/18_Jail_Singles/Jail_Singles_94.png")</f>
        <v/>
      </c>
    </row>
    <row r="95" ht="34.5" customHeight="1">
      <c r="A95" s="18" t="s">
        <v>3688</v>
      </c>
      <c r="B95" s="16" t="str">
        <f>IMAGE("https://lmztiles.s3.eu-west-1.amazonaws.com/Modern_Interiors_v41.3.4/1_Interiors/16x16/Theme_Sorter_Singles/18_Jail_Singles/Jail_Singles_95.png")</f>
        <v/>
      </c>
    </row>
    <row r="96" ht="34.5" customHeight="1">
      <c r="A96" s="18" t="s">
        <v>3689</v>
      </c>
      <c r="B96" s="16" t="str">
        <f>IMAGE("https://lmztiles.s3.eu-west-1.amazonaws.com/Modern_Interiors_v41.3.4/1_Interiors/16x16/Theme_Sorter_Singles/18_Jail_Singles/Jail_Singles_96.png")</f>
        <v/>
      </c>
    </row>
    <row r="97" ht="34.5" customHeight="1">
      <c r="A97" s="18" t="s">
        <v>3690</v>
      </c>
      <c r="B97" s="16" t="str">
        <f>IMAGE("https://lmztiles.s3.eu-west-1.amazonaws.com/Modern_Interiors_v41.3.4/1_Interiors/16x16/Theme_Sorter_Singles/18_Jail_Singles/Jail_Singles_97.png")</f>
        <v/>
      </c>
    </row>
    <row r="98" ht="34.5" customHeight="1">
      <c r="A98" s="18" t="s">
        <v>3691</v>
      </c>
      <c r="B98" s="16" t="str">
        <f>IMAGE("https://lmztiles.s3.eu-west-1.amazonaws.com/Modern_Interiors_v41.3.4/1_Interiors/16x16/Theme_Sorter_Singles/18_Jail_Singles/Jail_Singles_98.png")</f>
        <v/>
      </c>
    </row>
    <row r="99" ht="34.5" customHeight="1">
      <c r="A99" s="18" t="s">
        <v>3692</v>
      </c>
      <c r="B99" s="16" t="str">
        <f>IMAGE("https://lmztiles.s3.eu-west-1.amazonaws.com/Modern_Interiors_v41.3.4/1_Interiors/16x16/Theme_Sorter_Singles/18_Jail_Singles/Jail_Singles_99.png")</f>
        <v/>
      </c>
    </row>
    <row r="100" ht="34.5" customHeight="1">
      <c r="A100" s="18" t="s">
        <v>3693</v>
      </c>
      <c r="B100" s="16" t="str">
        <f>IMAGE("https://lmztiles.s3.eu-west-1.amazonaws.com/Modern_Interiors_v41.3.4/1_Interiors/16x16/Theme_Sorter_Singles/18_Jail_Singles/Jail_Singles_100.png")</f>
        <v/>
      </c>
    </row>
    <row r="101" ht="34.5" customHeight="1">
      <c r="A101" s="18" t="s">
        <v>3694</v>
      </c>
      <c r="B101" s="16" t="str">
        <f>IMAGE("https://lmztiles.s3.eu-west-1.amazonaws.com/Modern_Interiors_v41.3.4/1_Interiors/16x16/Theme_Sorter_Singles/18_Jail_Singles/Jail_Singles_101.png")</f>
        <v/>
      </c>
    </row>
    <row r="102" ht="34.5" customHeight="1">
      <c r="A102" s="18" t="s">
        <v>3695</v>
      </c>
      <c r="B102" s="16" t="str">
        <f>IMAGE("https://lmztiles.s3.eu-west-1.amazonaws.com/Modern_Interiors_v41.3.4/1_Interiors/16x16/Theme_Sorter_Singles/18_Jail_Singles/Jail_Singles_102.png")</f>
        <v/>
      </c>
    </row>
    <row r="103" ht="34.5" customHeight="1">
      <c r="A103" s="18" t="s">
        <v>3696</v>
      </c>
      <c r="B103" s="16" t="str">
        <f>IMAGE("https://lmztiles.s3.eu-west-1.amazonaws.com/Modern_Interiors_v41.3.4/1_Interiors/16x16/Theme_Sorter_Singles/18_Jail_Singles/Jail_Singles_103.png")</f>
        <v/>
      </c>
    </row>
    <row r="104" ht="34.5" customHeight="1">
      <c r="A104" s="18" t="s">
        <v>3697</v>
      </c>
      <c r="B104" s="16" t="str">
        <f>IMAGE("https://lmztiles.s3.eu-west-1.amazonaws.com/Modern_Interiors_v41.3.4/1_Interiors/16x16/Theme_Sorter_Singles/18_Jail_Singles/Jail_Singles_104.png")</f>
        <v/>
      </c>
    </row>
    <row r="105" ht="34.5" customHeight="1">
      <c r="A105" s="18" t="s">
        <v>3698</v>
      </c>
      <c r="B105" s="16" t="str">
        <f>IMAGE("https://lmztiles.s3.eu-west-1.amazonaws.com/Modern_Interiors_v41.3.4/1_Interiors/16x16/Theme_Sorter_Singles/18_Jail_Singles/Jail_Singles_105.png")</f>
        <v/>
      </c>
    </row>
    <row r="106" ht="34.5" customHeight="1">
      <c r="A106" s="18" t="s">
        <v>3699</v>
      </c>
      <c r="B106" s="16" t="str">
        <f>IMAGE("https://lmztiles.s3.eu-west-1.amazonaws.com/Modern_Interiors_v41.3.4/1_Interiors/16x16/Theme_Sorter_Singles/18_Jail_Singles/Jail_Singles_106.png")</f>
        <v/>
      </c>
    </row>
    <row r="107" ht="34.5" customHeight="1">
      <c r="A107" s="18" t="s">
        <v>3700</v>
      </c>
      <c r="B107" s="16" t="str">
        <f>IMAGE("https://lmztiles.s3.eu-west-1.amazonaws.com/Modern_Interiors_v41.3.4/1_Interiors/16x16/Theme_Sorter_Singles/18_Jail_Singles/Jail_Singles_107.png")</f>
        <v/>
      </c>
    </row>
    <row r="108" ht="34.5" customHeight="1">
      <c r="A108" s="18" t="s">
        <v>3701</v>
      </c>
      <c r="B108" s="16" t="str">
        <f>IMAGE("https://lmztiles.s3.eu-west-1.amazonaws.com/Modern_Interiors_v41.3.4/1_Interiors/16x16/Theme_Sorter_Singles/18_Jail_Singles/Jail_Singles_108.png")</f>
        <v/>
      </c>
    </row>
    <row r="109" ht="34.5" customHeight="1">
      <c r="A109" s="18" t="s">
        <v>3702</v>
      </c>
      <c r="B109" s="16" t="str">
        <f>IMAGE("https://lmztiles.s3.eu-west-1.amazonaws.com/Modern_Interiors_v41.3.4/1_Interiors/16x16/Theme_Sorter_Singles/18_Jail_Singles/Jail_Singles_109.png")</f>
        <v/>
      </c>
    </row>
    <row r="110" ht="34.5" customHeight="1">
      <c r="A110" s="18" t="s">
        <v>3703</v>
      </c>
      <c r="B110" s="16" t="str">
        <f>IMAGE("https://lmztiles.s3.eu-west-1.amazonaws.com/Modern_Interiors_v41.3.4/1_Interiors/16x16/Theme_Sorter_Singles/18_Jail_Singles/Jail_Singles_110.png")</f>
        <v/>
      </c>
    </row>
    <row r="111" ht="34.5" customHeight="1">
      <c r="A111" s="18" t="s">
        <v>3704</v>
      </c>
      <c r="B111" s="16" t="str">
        <f>IMAGE("https://lmztiles.s3.eu-west-1.amazonaws.com/Modern_Interiors_v41.3.4/1_Interiors/16x16/Theme_Sorter_Singles/18_Jail_Singles/Jail_Singles_111.png")</f>
        <v/>
      </c>
    </row>
    <row r="112" ht="34.5" customHeight="1">
      <c r="A112" s="18" t="s">
        <v>3705</v>
      </c>
      <c r="B112" s="16" t="str">
        <f>IMAGE("https://lmztiles.s3.eu-west-1.amazonaws.com/Modern_Interiors_v41.3.4/1_Interiors/16x16/Theme_Sorter_Singles/18_Jail_Singles/Jail_Singles_112.png")</f>
        <v/>
      </c>
    </row>
    <row r="113" ht="34.5" customHeight="1">
      <c r="A113" s="18" t="s">
        <v>3706</v>
      </c>
      <c r="B113" s="16" t="str">
        <f>IMAGE("https://lmztiles.s3.eu-west-1.amazonaws.com/Modern_Interiors_v41.3.4/1_Interiors/16x16/Theme_Sorter_Singles/18_Jail_Singles/Jail_Singles_113.png")</f>
        <v/>
      </c>
    </row>
    <row r="114" ht="34.5" customHeight="1">
      <c r="A114" s="18" t="s">
        <v>3707</v>
      </c>
      <c r="B114" s="16" t="str">
        <f>IMAGE("https://lmztiles.s3.eu-west-1.amazonaws.com/Modern_Interiors_v41.3.4/1_Interiors/16x16/Theme_Sorter_Singles/18_Jail_Singles/Jail_Singles_114.png")</f>
        <v/>
      </c>
    </row>
    <row r="115" ht="34.5" customHeight="1">
      <c r="A115" s="18" t="s">
        <v>3708</v>
      </c>
      <c r="B115" s="16" t="str">
        <f>IMAGE("https://lmztiles.s3.eu-west-1.amazonaws.com/Modern_Interiors_v41.3.4/1_Interiors/16x16/Theme_Sorter_Singles/18_Jail_Singles/Jail_Singles_115.png")</f>
        <v/>
      </c>
    </row>
    <row r="116" ht="34.5" customHeight="1">
      <c r="A116" s="18" t="s">
        <v>3709</v>
      </c>
      <c r="B116" s="16" t="str">
        <f>IMAGE("https://lmztiles.s3.eu-west-1.amazonaws.com/Modern_Interiors_v41.3.4/1_Interiors/16x16/Theme_Sorter_Singles/18_Jail_Singles/Jail_Singles_116.png")</f>
        <v/>
      </c>
    </row>
    <row r="117" ht="34.5" customHeight="1">
      <c r="A117" s="18" t="s">
        <v>3710</v>
      </c>
      <c r="B117" s="16" t="str">
        <f>IMAGE("https://lmztiles.s3.eu-west-1.amazonaws.com/Modern_Interiors_v41.3.4/1_Interiors/16x16/Theme_Sorter_Singles/18_Jail_Singles/Jail_Singles_117.png")</f>
        <v/>
      </c>
    </row>
    <row r="118" ht="34.5" customHeight="1">
      <c r="A118" s="18" t="s">
        <v>3711</v>
      </c>
      <c r="B118" s="16" t="str">
        <f>IMAGE("https://lmztiles.s3.eu-west-1.amazonaws.com/Modern_Interiors_v41.3.4/1_Interiors/16x16/Theme_Sorter_Singles/18_Jail_Singles/Jail_Singles_118.png")</f>
        <v/>
      </c>
    </row>
    <row r="119" ht="34.5" customHeight="1">
      <c r="A119" s="18" t="s">
        <v>3712</v>
      </c>
      <c r="B119" s="16" t="str">
        <f>IMAGE("https://lmztiles.s3.eu-west-1.amazonaws.com/Modern_Interiors_v41.3.4/1_Interiors/16x16/Theme_Sorter_Singles/18_Jail_Singles/Jail_Singles_119.png")</f>
        <v/>
      </c>
    </row>
    <row r="120" ht="34.5" customHeight="1">
      <c r="A120" s="18" t="s">
        <v>3713</v>
      </c>
      <c r="B120" s="16" t="str">
        <f>IMAGE("https://lmztiles.s3.eu-west-1.amazonaws.com/Modern_Interiors_v41.3.4/1_Interiors/16x16/Theme_Sorter_Singles/18_Jail_Singles/Jail_Singles_120.png")</f>
        <v/>
      </c>
    </row>
    <row r="121" ht="34.5" customHeight="1">
      <c r="A121" s="18" t="s">
        <v>3714</v>
      </c>
      <c r="B121" s="16" t="str">
        <f>IMAGE("https://lmztiles.s3.eu-west-1.amazonaws.com/Modern_Interiors_v41.3.4/1_Interiors/16x16/Theme_Sorter_Singles/18_Jail_Singles/Jail_Singles_121.png")</f>
        <v/>
      </c>
    </row>
    <row r="122" ht="34.5" customHeight="1">
      <c r="A122" s="18" t="s">
        <v>3715</v>
      </c>
      <c r="B122" s="16" t="str">
        <f>IMAGE("https://lmztiles.s3.eu-west-1.amazonaws.com/Modern_Interiors_v41.3.4/1_Interiors/16x16/Theme_Sorter_Singles/18_Jail_Singles/Jail_Singles_122.png")</f>
        <v/>
      </c>
    </row>
    <row r="123" ht="34.5" customHeight="1">
      <c r="A123" s="18" t="s">
        <v>3716</v>
      </c>
      <c r="B123" s="16" t="str">
        <f>IMAGE("https://lmztiles.s3.eu-west-1.amazonaws.com/Modern_Interiors_v41.3.4/1_Interiors/16x16/Theme_Sorter_Singles/18_Jail_Singles/Jail_Singles_123.png")</f>
        <v/>
      </c>
    </row>
    <row r="124" ht="34.5" customHeight="1">
      <c r="A124" s="18" t="s">
        <v>3717</v>
      </c>
      <c r="B124" s="16" t="str">
        <f>IMAGE("https://lmztiles.s3.eu-west-1.amazonaws.com/Modern_Interiors_v41.3.4/1_Interiors/16x16/Theme_Sorter_Singles/18_Jail_Singles/Jail_Singles_124.png")</f>
        <v/>
      </c>
    </row>
    <row r="125" ht="34.5" customHeight="1">
      <c r="A125" s="18" t="s">
        <v>3718</v>
      </c>
      <c r="B125" s="16" t="str">
        <f>IMAGE("https://lmztiles.s3.eu-west-1.amazonaws.com/Modern_Interiors_v41.3.4/1_Interiors/16x16/Theme_Sorter_Singles/18_Jail_Singles/Jail_Singles_125.png")</f>
        <v/>
      </c>
    </row>
    <row r="126" ht="34.5" customHeight="1">
      <c r="A126" s="18" t="s">
        <v>3719</v>
      </c>
      <c r="B126" s="16" t="str">
        <f>IMAGE("https://lmztiles.s3.eu-west-1.amazonaws.com/Modern_Interiors_v41.3.4/1_Interiors/16x16/Theme_Sorter_Singles/18_Jail_Singles/Jail_Singles_126.png")</f>
        <v/>
      </c>
    </row>
    <row r="127" ht="34.5" customHeight="1">
      <c r="A127" s="18" t="s">
        <v>3720</v>
      </c>
      <c r="B127" s="16" t="str">
        <f>IMAGE("https://lmztiles.s3.eu-west-1.amazonaws.com/Modern_Interiors_v41.3.4/1_Interiors/16x16/Theme_Sorter_Singles/18_Jail_Singles/Jail_Singles_127.png")</f>
        <v/>
      </c>
    </row>
    <row r="128" ht="34.5" customHeight="1">
      <c r="A128" s="18" t="s">
        <v>3721</v>
      </c>
      <c r="B128" s="16" t="str">
        <f>IMAGE("https://lmztiles.s3.eu-west-1.amazonaws.com/Modern_Interiors_v41.3.4/1_Interiors/16x16/Theme_Sorter_Singles/18_Jail_Singles/Jail_Singles_128.png")</f>
        <v/>
      </c>
    </row>
    <row r="129" ht="34.5" customHeight="1">
      <c r="A129" s="18" t="s">
        <v>3722</v>
      </c>
      <c r="B129" s="16" t="str">
        <f>IMAGE("https://lmztiles.s3.eu-west-1.amazonaws.com/Modern_Interiors_v41.3.4/1_Interiors/16x16/Theme_Sorter_Singles/18_Jail_Singles/Jail_Singles_129.png")</f>
        <v/>
      </c>
    </row>
    <row r="130" ht="34.5" customHeight="1">
      <c r="A130" s="18" t="s">
        <v>3723</v>
      </c>
      <c r="B130" s="16" t="str">
        <f>IMAGE("https://lmztiles.s3.eu-west-1.amazonaws.com/Modern_Interiors_v41.3.4/1_Interiors/16x16/Theme_Sorter_Singles/18_Jail_Singles/Jail_Singles_130.png")</f>
        <v/>
      </c>
    </row>
    <row r="131" ht="34.5" customHeight="1">
      <c r="A131" s="18" t="s">
        <v>3724</v>
      </c>
      <c r="B131" s="16" t="str">
        <f>IMAGE("https://lmztiles.s3.eu-west-1.amazonaws.com/Modern_Interiors_v41.3.4/1_Interiors/16x16/Theme_Sorter_Singles/18_Jail_Singles/Jail_Singles_131.png")</f>
        <v/>
      </c>
    </row>
    <row r="132" ht="34.5" customHeight="1">
      <c r="A132" s="18" t="s">
        <v>3725</v>
      </c>
      <c r="B132" s="16" t="str">
        <f>IMAGE("https://lmztiles.s3.eu-west-1.amazonaws.com/Modern_Interiors_v41.3.4/1_Interiors/16x16/Theme_Sorter_Singles/18_Jail_Singles/Jail_Singles_132.png")</f>
        <v/>
      </c>
    </row>
    <row r="133" ht="34.5" customHeight="1">
      <c r="A133" s="18" t="s">
        <v>3726</v>
      </c>
      <c r="B133" s="16" t="str">
        <f>IMAGE("https://lmztiles.s3.eu-west-1.amazonaws.com/Modern_Interiors_v41.3.4/1_Interiors/16x16/Theme_Sorter_Singles/18_Jail_Singles/Jail_Singles_133.png")</f>
        <v/>
      </c>
    </row>
    <row r="134" ht="34.5" customHeight="1">
      <c r="A134" s="18" t="s">
        <v>3727</v>
      </c>
      <c r="B134" s="16" t="str">
        <f>IMAGE("https://lmztiles.s3.eu-west-1.amazonaws.com/Modern_Interiors_v41.3.4/1_Interiors/16x16/Theme_Sorter_Singles/18_Jail_Singles/Jail_Singles_134.png")</f>
        <v/>
      </c>
    </row>
    <row r="135" ht="34.5" customHeight="1">
      <c r="A135" s="18" t="s">
        <v>3728</v>
      </c>
      <c r="B135" s="16" t="str">
        <f>IMAGE("https://lmztiles.s3.eu-west-1.amazonaws.com/Modern_Interiors_v41.3.4/1_Interiors/16x16/Theme_Sorter_Singles/18_Jail_Singles/Jail_Singles_135.png")</f>
        <v/>
      </c>
    </row>
    <row r="136" ht="34.5" customHeight="1">
      <c r="A136" s="18" t="s">
        <v>3729</v>
      </c>
      <c r="B136" s="16" t="str">
        <f>IMAGE("https://lmztiles.s3.eu-west-1.amazonaws.com/Modern_Interiors_v41.3.4/1_Interiors/16x16/Theme_Sorter_Singles/18_Jail_Singles/Jail_Singles_136.png")</f>
        <v/>
      </c>
    </row>
    <row r="137" ht="34.5" customHeight="1">
      <c r="A137" s="18" t="s">
        <v>3730</v>
      </c>
      <c r="B137" s="16" t="str">
        <f>IMAGE("https://lmztiles.s3.eu-west-1.amazonaws.com/Modern_Interiors_v41.3.4/1_Interiors/16x16/Theme_Sorter_Singles/18_Jail_Singles/Jail_Singles_137.png")</f>
        <v/>
      </c>
    </row>
    <row r="138" ht="34.5" customHeight="1">
      <c r="A138" s="18" t="s">
        <v>3731</v>
      </c>
      <c r="B138" s="16" t="str">
        <f>IMAGE("https://lmztiles.s3.eu-west-1.amazonaws.com/Modern_Interiors_v41.3.4/1_Interiors/16x16/Theme_Sorter_Singles/18_Jail_Singles/Jail_Singles_138.png")</f>
        <v/>
      </c>
    </row>
    <row r="139" ht="34.5" customHeight="1">
      <c r="A139" s="18" t="s">
        <v>3732</v>
      </c>
      <c r="B139" s="16" t="str">
        <f>IMAGE("https://lmztiles.s3.eu-west-1.amazonaws.com/Modern_Interiors_v41.3.4/1_Interiors/16x16/Theme_Sorter_Singles/18_Jail_Singles/Jail_Singles_139.png")</f>
        <v/>
      </c>
    </row>
    <row r="140" ht="34.5" customHeight="1">
      <c r="A140" s="18" t="s">
        <v>3733</v>
      </c>
      <c r="B140" s="16" t="str">
        <f>IMAGE("https://lmztiles.s3.eu-west-1.amazonaws.com/Modern_Interiors_v41.3.4/1_Interiors/16x16/Theme_Sorter_Singles/18_Jail_Singles/Jail_Singles_140.png")</f>
        <v/>
      </c>
    </row>
    <row r="141" ht="34.5" customHeight="1">
      <c r="A141" s="18" t="s">
        <v>3734</v>
      </c>
      <c r="B141" s="16" t="str">
        <f>IMAGE("https://lmztiles.s3.eu-west-1.amazonaws.com/Modern_Interiors_v41.3.4/1_Interiors/16x16/Theme_Sorter_Singles/18_Jail_Singles/Jail_Singles_141.png")</f>
        <v/>
      </c>
    </row>
    <row r="142" ht="34.5" customHeight="1">
      <c r="A142" s="18" t="s">
        <v>3735</v>
      </c>
      <c r="B142" s="16" t="str">
        <f>IMAGE("https://lmztiles.s3.eu-west-1.amazonaws.com/Modern_Interiors_v41.3.4/1_Interiors/16x16/Theme_Sorter_Singles/18_Jail_Singles/Jail_Singles_142.png")</f>
        <v/>
      </c>
    </row>
    <row r="143" ht="34.5" customHeight="1">
      <c r="A143" s="18" t="s">
        <v>3736</v>
      </c>
      <c r="B143" s="16" t="str">
        <f>IMAGE("https://lmztiles.s3.eu-west-1.amazonaws.com/Modern_Interiors_v41.3.4/1_Interiors/16x16/Theme_Sorter_Singles/18_Jail_Singles/Jail_Singles_143.png")</f>
        <v/>
      </c>
    </row>
    <row r="144" ht="34.5" customHeight="1">
      <c r="A144" s="18" t="s">
        <v>3737</v>
      </c>
      <c r="B144" s="16" t="str">
        <f>IMAGE("https://lmztiles.s3.eu-west-1.amazonaws.com/Modern_Interiors_v41.3.4/1_Interiors/16x16/Theme_Sorter_Singles/18_Jail_Singles/Jail_Singles_144.png")</f>
        <v/>
      </c>
    </row>
    <row r="145" ht="34.5" customHeight="1">
      <c r="A145" s="18" t="s">
        <v>3738</v>
      </c>
      <c r="B145" s="16" t="str">
        <f>IMAGE("https://lmztiles.s3.eu-west-1.amazonaws.com/Modern_Interiors_v41.3.4/1_Interiors/16x16/Theme_Sorter_Singles/18_Jail_Singles/Jail_Singles_145.png")</f>
        <v/>
      </c>
    </row>
    <row r="146" ht="34.5" customHeight="1">
      <c r="A146" s="18" t="s">
        <v>3739</v>
      </c>
      <c r="B146" s="16" t="str">
        <f>IMAGE("https://lmztiles.s3.eu-west-1.amazonaws.com/Modern_Interiors_v41.3.4/1_Interiors/16x16/Theme_Sorter_Singles/18_Jail_Singles/Jail_Singles_146.png")</f>
        <v/>
      </c>
    </row>
    <row r="147" ht="34.5" customHeight="1">
      <c r="A147" s="18" t="s">
        <v>3740</v>
      </c>
      <c r="B147" s="16" t="str">
        <f>IMAGE("https://lmztiles.s3.eu-west-1.amazonaws.com/Modern_Interiors_v41.3.4/1_Interiors/16x16/Theme_Sorter_Singles/18_Jail_Singles/Jail_Singles_147.png")</f>
        <v/>
      </c>
    </row>
    <row r="148" ht="34.5" customHeight="1">
      <c r="A148" s="18" t="s">
        <v>3741</v>
      </c>
      <c r="B148" s="16" t="str">
        <f>IMAGE("https://lmztiles.s3.eu-west-1.amazonaws.com/Modern_Interiors_v41.3.4/1_Interiors/16x16/Theme_Sorter_Singles/18_Jail_Singles/Jail_Singles_148.png")</f>
        <v/>
      </c>
    </row>
    <row r="149" ht="34.5" customHeight="1">
      <c r="A149" s="18" t="s">
        <v>3742</v>
      </c>
      <c r="B149" s="16" t="str">
        <f>IMAGE("https://lmztiles.s3.eu-west-1.amazonaws.com/Modern_Interiors_v41.3.4/1_Interiors/16x16/Theme_Sorter_Singles/18_Jail_Singles/Jail_Singles_149.png")</f>
        <v/>
      </c>
    </row>
    <row r="150" ht="34.5" customHeight="1">
      <c r="A150" s="18" t="s">
        <v>3743</v>
      </c>
      <c r="B150" s="16" t="str">
        <f>IMAGE("https://lmztiles.s3.eu-west-1.amazonaws.com/Modern_Interiors_v41.3.4/1_Interiors/16x16/Theme_Sorter_Singles/18_Jail_Singles/Jail_Singles_150.png")</f>
        <v/>
      </c>
    </row>
    <row r="151" ht="34.5" customHeight="1">
      <c r="A151" s="18" t="s">
        <v>3744</v>
      </c>
      <c r="B151" s="16" t="str">
        <f>IMAGE("https://lmztiles.s3.eu-west-1.amazonaws.com/Modern_Interiors_v41.3.4/1_Interiors/16x16/Theme_Sorter_Singles/18_Jail_Singles/Jail_Singles_151.png")</f>
        <v/>
      </c>
    </row>
    <row r="152" ht="34.5" customHeight="1">
      <c r="A152" s="18" t="s">
        <v>3745</v>
      </c>
      <c r="B152" s="16" t="str">
        <f>IMAGE("https://lmztiles.s3.eu-west-1.amazonaws.com/Modern_Interiors_v41.3.4/1_Interiors/16x16/Theme_Sorter_Singles/18_Jail_Singles/Jail_Singles_152.png")</f>
        <v/>
      </c>
    </row>
    <row r="153" ht="34.5" customHeight="1">
      <c r="A153" s="18" t="s">
        <v>3746</v>
      </c>
      <c r="B153" s="16" t="str">
        <f>IMAGE("https://lmztiles.s3.eu-west-1.amazonaws.com/Modern_Interiors_v41.3.4/1_Interiors/16x16/Theme_Sorter_Singles/18_Jail_Singles/Jail_Singles_153.png")</f>
        <v/>
      </c>
    </row>
    <row r="154" ht="34.5" customHeight="1">
      <c r="A154" s="18" t="s">
        <v>3747</v>
      </c>
      <c r="B154" s="16" t="str">
        <f>IMAGE("https://lmztiles.s3.eu-west-1.amazonaws.com/Modern_Interiors_v41.3.4/1_Interiors/16x16/Theme_Sorter_Singles/18_Jail_Singles/Jail_Singles_154.png")</f>
        <v/>
      </c>
    </row>
    <row r="155" ht="34.5" customHeight="1">
      <c r="A155" s="18" t="s">
        <v>3748</v>
      </c>
      <c r="B155" s="16" t="str">
        <f>IMAGE("https://lmztiles.s3.eu-west-1.amazonaws.com/Modern_Interiors_v41.3.4/1_Interiors/16x16/Theme_Sorter_Singles/18_Jail_Singles/Jail_Singles_155.png")</f>
        <v/>
      </c>
    </row>
    <row r="156" ht="34.5" customHeight="1">
      <c r="A156" s="18" t="s">
        <v>3749</v>
      </c>
      <c r="B156" s="16" t="str">
        <f>IMAGE("https://lmztiles.s3.eu-west-1.amazonaws.com/Modern_Interiors_v41.3.4/1_Interiors/16x16/Theme_Sorter_Singles/18_Jail_Singles/Jail_Singles_156.png")</f>
        <v/>
      </c>
    </row>
    <row r="157" ht="34.5" customHeight="1">
      <c r="A157" s="18" t="s">
        <v>3750</v>
      </c>
      <c r="B157" s="16" t="str">
        <f>IMAGE("https://lmztiles.s3.eu-west-1.amazonaws.com/Modern_Interiors_v41.3.4/1_Interiors/16x16/Theme_Sorter_Singles/18_Jail_Singles/Jail_Singles_157.png")</f>
        <v/>
      </c>
    </row>
    <row r="158" ht="34.5" customHeight="1">
      <c r="A158" s="18" t="s">
        <v>3751</v>
      </c>
      <c r="B158" s="16" t="str">
        <f>IMAGE("https://lmztiles.s3.eu-west-1.amazonaws.com/Modern_Interiors_v41.3.4/1_Interiors/16x16/Theme_Sorter_Singles/18_Jail_Singles/Jail_Singles_158.png")</f>
        <v/>
      </c>
    </row>
    <row r="159" ht="34.5" customHeight="1">
      <c r="A159" s="18" t="s">
        <v>3752</v>
      </c>
      <c r="B159" s="16" t="str">
        <f>IMAGE("https://lmztiles.s3.eu-west-1.amazonaws.com/Modern_Interiors_v41.3.4/1_Interiors/16x16/Theme_Sorter_Singles/18_Jail_Singles/Jail_Singles_159.png")</f>
        <v/>
      </c>
    </row>
    <row r="160" ht="34.5" customHeight="1">
      <c r="A160" s="18" t="s">
        <v>3753</v>
      </c>
      <c r="B160" s="16" t="str">
        <f>IMAGE("https://lmztiles.s3.eu-west-1.amazonaws.com/Modern_Interiors_v41.3.4/1_Interiors/16x16/Theme_Sorter_Singles/18_Jail_Singles/Jail_Singles_160.png")</f>
        <v/>
      </c>
    </row>
    <row r="161" ht="34.5" customHeight="1">
      <c r="A161" s="18" t="s">
        <v>3754</v>
      </c>
      <c r="B161" s="16" t="str">
        <f>IMAGE("https://lmztiles.s3.eu-west-1.amazonaws.com/Modern_Interiors_v41.3.4/1_Interiors/16x16/Theme_Sorter_Singles/18_Jail_Singles/Jail_Singles_161.png")</f>
        <v/>
      </c>
    </row>
    <row r="162" ht="34.5" customHeight="1">
      <c r="A162" s="18" t="s">
        <v>3755</v>
      </c>
      <c r="B162" s="16" t="str">
        <f>IMAGE("https://lmztiles.s3.eu-west-1.amazonaws.com/Modern_Interiors_v41.3.4/1_Interiors/16x16/Theme_Sorter_Singles/18_Jail_Singles/Jail_Singles_162.png")</f>
        <v/>
      </c>
    </row>
    <row r="163" ht="34.5" customHeight="1">
      <c r="A163" s="18" t="s">
        <v>3756</v>
      </c>
      <c r="B163" s="16" t="str">
        <f>IMAGE("https://lmztiles.s3.eu-west-1.amazonaws.com/Modern_Interiors_v41.3.4/1_Interiors/16x16/Theme_Sorter_Singles/18_Jail_Singles/Jail_Singles_163.png")</f>
        <v/>
      </c>
    </row>
    <row r="164" ht="34.5" customHeight="1">
      <c r="A164" s="18" t="s">
        <v>3757</v>
      </c>
      <c r="B164" s="16" t="str">
        <f>IMAGE("https://lmztiles.s3.eu-west-1.amazonaws.com/Modern_Interiors_v41.3.4/1_Interiors/16x16/Theme_Sorter_Singles/18_Jail_Singles/Jail_Singles_164.png")</f>
        <v/>
      </c>
    </row>
    <row r="165" ht="34.5" customHeight="1">
      <c r="A165" s="18" t="s">
        <v>3758</v>
      </c>
      <c r="B165" s="16" t="str">
        <f>IMAGE("https://lmztiles.s3.eu-west-1.amazonaws.com/Modern_Interiors_v41.3.4/1_Interiors/16x16/Theme_Sorter_Singles/18_Jail_Singles/Jail_Singles_165.png")</f>
        <v/>
      </c>
    </row>
    <row r="166" ht="34.5" customHeight="1">
      <c r="A166" s="18" t="s">
        <v>3759</v>
      </c>
      <c r="B166" s="16" t="str">
        <f>IMAGE("https://lmztiles.s3.eu-west-1.amazonaws.com/Modern_Interiors_v41.3.4/1_Interiors/16x16/Theme_Sorter_Singles/18_Jail_Singles/Jail_Singles_166.png")</f>
        <v/>
      </c>
    </row>
    <row r="167" ht="34.5" customHeight="1">
      <c r="A167" s="18" t="s">
        <v>3760</v>
      </c>
      <c r="B167" s="16" t="str">
        <f>IMAGE("https://lmztiles.s3.eu-west-1.amazonaws.com/Modern_Interiors_v41.3.4/1_Interiors/16x16/Theme_Sorter_Singles/18_Jail_Singles/Jail_Singles_167.png")</f>
        <v/>
      </c>
    </row>
    <row r="168" ht="34.5" customHeight="1">
      <c r="A168" s="18" t="s">
        <v>3761</v>
      </c>
      <c r="B168" s="16" t="str">
        <f>IMAGE("https://lmztiles.s3.eu-west-1.amazonaws.com/Modern_Interiors_v41.3.4/1_Interiors/16x16/Theme_Sorter_Singles/18_Jail_Singles/Jail_Singles_168.png")</f>
        <v/>
      </c>
    </row>
    <row r="169" ht="34.5" customHeight="1">
      <c r="A169" s="18" t="s">
        <v>3762</v>
      </c>
      <c r="B169" s="16" t="str">
        <f>IMAGE("https://lmztiles.s3.eu-west-1.amazonaws.com/Modern_Interiors_v41.3.4/1_Interiors/16x16/Theme_Sorter_Singles/18_Jail_Singles/Jail_Singles_169.png")</f>
        <v/>
      </c>
    </row>
    <row r="170" ht="34.5" customHeight="1">
      <c r="A170" s="18" t="s">
        <v>3763</v>
      </c>
      <c r="B170" s="16" t="str">
        <f>IMAGE("https://lmztiles.s3.eu-west-1.amazonaws.com/Modern_Interiors_v41.3.4/1_Interiors/16x16/Theme_Sorter_Singles/18_Jail_Singles/Jail_Singles_170.png")</f>
        <v/>
      </c>
    </row>
    <row r="171" ht="34.5" customHeight="1">
      <c r="A171" s="18" t="s">
        <v>3764</v>
      </c>
      <c r="B171" s="16" t="str">
        <f>IMAGE("https://lmztiles.s3.eu-west-1.amazonaws.com/Modern_Interiors_v41.3.4/1_Interiors/16x16/Theme_Sorter_Singles/18_Jail_Singles/Jail_Singles_171.png")</f>
        <v/>
      </c>
    </row>
    <row r="172" ht="34.5" customHeight="1">
      <c r="A172" s="18" t="s">
        <v>3765</v>
      </c>
      <c r="B172" s="16" t="str">
        <f>IMAGE("https://lmztiles.s3.eu-west-1.amazonaws.com/Modern_Interiors_v41.3.4/1_Interiors/16x16/Theme_Sorter_Singles/18_Jail_Singles/Jail_Singles_172.png")</f>
        <v/>
      </c>
    </row>
    <row r="173" ht="34.5" customHeight="1">
      <c r="A173" s="18" t="s">
        <v>3766</v>
      </c>
      <c r="B173" s="16" t="str">
        <f>IMAGE("https://lmztiles.s3.eu-west-1.amazonaws.com/Modern_Interiors_v41.3.4/1_Interiors/16x16/Theme_Sorter_Singles/18_Jail_Singles/Jail_Singles_173.png")</f>
        <v/>
      </c>
    </row>
    <row r="174" ht="34.5" customHeight="1">
      <c r="A174" s="18" t="s">
        <v>3767</v>
      </c>
      <c r="B174" s="16" t="str">
        <f>IMAGE("https://lmztiles.s3.eu-west-1.amazonaws.com/Modern_Interiors_v41.3.4/1_Interiors/16x16/Theme_Sorter_Singles/18_Jail_Singles/Jail_Singles_174.png")</f>
        <v/>
      </c>
    </row>
    <row r="175" ht="34.5" customHeight="1">
      <c r="A175" s="18" t="s">
        <v>3768</v>
      </c>
      <c r="B175" s="16" t="str">
        <f>IMAGE("https://lmztiles.s3.eu-west-1.amazonaws.com/Modern_Interiors_v41.3.4/1_Interiors/16x16/Theme_Sorter_Singles/18_Jail_Singles/Jail_Singles_175.png")</f>
        <v/>
      </c>
    </row>
    <row r="176" ht="34.5" customHeight="1">
      <c r="A176" s="18" t="s">
        <v>3769</v>
      </c>
      <c r="B176" s="16" t="str">
        <f>IMAGE("https://lmztiles.s3.eu-west-1.amazonaws.com/Modern_Interiors_v41.3.4/1_Interiors/16x16/Theme_Sorter_Singles/18_Jail_Singles/Jail_Singles_176.png")</f>
        <v/>
      </c>
    </row>
    <row r="177" ht="34.5" customHeight="1">
      <c r="A177" s="18" t="s">
        <v>3770</v>
      </c>
      <c r="B177" s="16" t="str">
        <f>IMAGE("https://lmztiles.s3.eu-west-1.amazonaws.com/Modern_Interiors_v41.3.4/1_Interiors/16x16/Theme_Sorter_Singles/18_Jail_Singles/Jail_Singles_177.png")</f>
        <v/>
      </c>
    </row>
    <row r="178" ht="34.5" customHeight="1">
      <c r="A178" s="18" t="s">
        <v>3771</v>
      </c>
      <c r="B178" s="16" t="str">
        <f>IMAGE("https://lmztiles.s3.eu-west-1.amazonaws.com/Modern_Interiors_v41.3.4/1_Interiors/16x16/Theme_Sorter_Singles/18_Jail_Singles/Jail_Singles_178.png")</f>
        <v/>
      </c>
    </row>
    <row r="179" ht="34.5" customHeight="1">
      <c r="A179" s="18" t="s">
        <v>3772</v>
      </c>
      <c r="B179" s="16" t="str">
        <f>IMAGE("https://lmztiles.s3.eu-west-1.amazonaws.com/Modern_Interiors_v41.3.4/1_Interiors/16x16/Theme_Sorter_Singles/18_Jail_Singles/Jail_Singles_179.png")</f>
        <v/>
      </c>
    </row>
    <row r="180" ht="34.5" customHeight="1">
      <c r="A180" s="18" t="s">
        <v>3773</v>
      </c>
      <c r="B180" s="16" t="str">
        <f>IMAGE("https://lmztiles.s3.eu-west-1.amazonaws.com/Modern_Interiors_v41.3.4/1_Interiors/16x16/Theme_Sorter_Singles/18_Jail_Singles/Jail_Singles_180.png")</f>
        <v/>
      </c>
    </row>
    <row r="181" ht="34.5" customHeight="1">
      <c r="A181" s="18" t="s">
        <v>3774</v>
      </c>
      <c r="B181" s="16" t="str">
        <f>IMAGE("https://lmztiles.s3.eu-west-1.amazonaws.com/Modern_Interiors_v41.3.4/1_Interiors/16x16/Theme_Sorter_Singles/18_Jail_Singles/Jail_Singles_181.png")</f>
        <v/>
      </c>
    </row>
    <row r="182" ht="34.5" customHeight="1">
      <c r="A182" s="18" t="s">
        <v>3775</v>
      </c>
      <c r="B182" s="16" t="str">
        <f>IMAGE("https://lmztiles.s3.eu-west-1.amazonaws.com/Modern_Interiors_v41.3.4/1_Interiors/16x16/Theme_Sorter_Singles/18_Jail_Singles/Jail_Singles_182.png")</f>
        <v/>
      </c>
    </row>
    <row r="183" ht="34.5" customHeight="1">
      <c r="A183" s="18" t="s">
        <v>3776</v>
      </c>
      <c r="B183" s="16" t="str">
        <f>IMAGE("https://lmztiles.s3.eu-west-1.amazonaws.com/Modern_Interiors_v41.3.4/1_Interiors/16x16/Theme_Sorter_Singles/18_Jail_Singles/Jail_Singles_183.png")</f>
        <v/>
      </c>
    </row>
    <row r="184" ht="34.5" customHeight="1">
      <c r="A184" s="18" t="s">
        <v>3777</v>
      </c>
      <c r="B184" s="16" t="str">
        <f>IMAGE("https://lmztiles.s3.eu-west-1.amazonaws.com/Modern_Interiors_v41.3.4/1_Interiors/16x16/Theme_Sorter_Singles/18_Jail_Singles/Jail_Singles_184.png")</f>
        <v/>
      </c>
    </row>
    <row r="185" ht="34.5" customHeight="1">
      <c r="A185" s="18" t="s">
        <v>3778</v>
      </c>
      <c r="B185" s="16" t="str">
        <f>IMAGE("https://lmztiles.s3.eu-west-1.amazonaws.com/Modern_Interiors_v41.3.4/1_Interiors/16x16/Theme_Sorter_Singles/18_Jail_Singles/Jail_Singles_185.png")</f>
        <v/>
      </c>
    </row>
    <row r="186" ht="34.5" customHeight="1">
      <c r="A186" s="18" t="s">
        <v>3779</v>
      </c>
      <c r="B186" s="16" t="str">
        <f>IMAGE("https://lmztiles.s3.eu-west-1.amazonaws.com/Modern_Interiors_v41.3.4/1_Interiors/16x16/Theme_Sorter_Singles/18_Jail_Singles/Jail_Singles_186.png")</f>
        <v/>
      </c>
    </row>
    <row r="187" ht="34.5" customHeight="1">
      <c r="A187" s="18" t="s">
        <v>3780</v>
      </c>
      <c r="B187" s="16" t="str">
        <f>IMAGE("https://lmztiles.s3.eu-west-1.amazonaws.com/Modern_Interiors_v41.3.4/1_Interiors/16x16/Theme_Sorter_Singles/18_Jail_Singles/Jail_Singles_187.png")</f>
        <v/>
      </c>
    </row>
    <row r="188" ht="34.5" customHeight="1">
      <c r="A188" s="18" t="s">
        <v>3781</v>
      </c>
      <c r="B188" s="16" t="str">
        <f>IMAGE("https://lmztiles.s3.eu-west-1.amazonaws.com/Modern_Interiors_v41.3.4/1_Interiors/16x16/Theme_Sorter_Singles/18_Jail_Singles/Jail_Singles_188.png")</f>
        <v/>
      </c>
    </row>
    <row r="189" ht="34.5" customHeight="1">
      <c r="A189" s="18" t="s">
        <v>3782</v>
      </c>
      <c r="B189" s="16" t="str">
        <f>IMAGE("https://lmztiles.s3.eu-west-1.amazonaws.com/Modern_Interiors_v41.3.4/1_Interiors/16x16/Theme_Sorter_Singles/18_Jail_Singles/Jail_Singles_189.png")</f>
        <v/>
      </c>
    </row>
    <row r="190" ht="34.5" customHeight="1">
      <c r="A190" s="18" t="s">
        <v>3783</v>
      </c>
      <c r="B190" s="16" t="str">
        <f>IMAGE("https://lmztiles.s3.eu-west-1.amazonaws.com/Modern_Interiors_v41.3.4/1_Interiors/16x16/Theme_Sorter_Singles/18_Jail_Singles/Jail_Singles_190.png")</f>
        <v/>
      </c>
    </row>
    <row r="191" ht="34.5" customHeight="1">
      <c r="A191" s="18" t="s">
        <v>3784</v>
      </c>
      <c r="B191" s="16" t="str">
        <f>IMAGE("https://lmztiles.s3.eu-west-1.amazonaws.com/Modern_Interiors_v41.3.4/1_Interiors/16x16/Theme_Sorter_Singles/18_Jail_Singles/Jail_Singles_191.png")</f>
        <v/>
      </c>
    </row>
    <row r="192" ht="34.5" customHeight="1">
      <c r="A192" s="18" t="s">
        <v>3785</v>
      </c>
      <c r="B192" s="16" t="str">
        <f>IMAGE("https://lmztiles.s3.eu-west-1.amazonaws.com/Modern_Interiors_v41.3.4/1_Interiors/16x16/Theme_Sorter_Singles/18_Jail_Singles/Jail_Singles_192.png")</f>
        <v/>
      </c>
    </row>
    <row r="193" ht="34.5" customHeight="1">
      <c r="A193" s="18" t="s">
        <v>3786</v>
      </c>
      <c r="B193" s="16" t="str">
        <f>IMAGE("https://lmztiles.s3.eu-west-1.amazonaws.com/Modern_Interiors_v41.3.4/1_Interiors/16x16/Theme_Sorter_Singles/18_Jail_Singles/Jail_Singles_193.png")</f>
        <v/>
      </c>
    </row>
    <row r="194" ht="34.5" customHeight="1">
      <c r="A194" s="18" t="s">
        <v>3787</v>
      </c>
      <c r="B194" s="16" t="str">
        <f>IMAGE("https://lmztiles.s3.eu-west-1.amazonaws.com/Modern_Interiors_v41.3.4/1_Interiors/16x16/Theme_Sorter_Singles/18_Jail_Singles/Jail_Singles_194.png")</f>
        <v/>
      </c>
    </row>
    <row r="195" ht="34.5" customHeight="1">
      <c r="A195" s="18" t="s">
        <v>3788</v>
      </c>
      <c r="B195" s="16" t="str">
        <f>IMAGE("https://lmztiles.s3.eu-west-1.amazonaws.com/Modern_Interiors_v41.3.4/1_Interiors/16x16/Theme_Sorter_Singles/18_Jail_Singles/Jail_Singles_195.png")</f>
        <v/>
      </c>
    </row>
    <row r="196" ht="34.5" customHeight="1">
      <c r="A196" s="18" t="s">
        <v>3789</v>
      </c>
      <c r="B196" s="16" t="str">
        <f>IMAGE("https://lmztiles.s3.eu-west-1.amazonaws.com/Modern_Interiors_v41.3.4/1_Interiors/16x16/Theme_Sorter_Singles/18_Jail_Singles/Jail_Singles_196.png")</f>
        <v/>
      </c>
    </row>
    <row r="197" ht="34.5" customHeight="1">
      <c r="A197" s="18" t="s">
        <v>3790</v>
      </c>
      <c r="B197" s="16" t="str">
        <f>IMAGE("https://lmztiles.s3.eu-west-1.amazonaws.com/Modern_Interiors_v41.3.4/1_Interiors/16x16/Theme_Sorter_Singles/18_Jail_Singles/Jail_Singles_197.png")</f>
        <v/>
      </c>
    </row>
    <row r="198" ht="34.5" customHeight="1">
      <c r="A198" s="18" t="s">
        <v>3791</v>
      </c>
      <c r="B198" s="16" t="str">
        <f>IMAGE("https://lmztiles.s3.eu-west-1.amazonaws.com/Modern_Interiors_v41.3.4/1_Interiors/16x16/Theme_Sorter_Singles/18_Jail_Singles/Jail_Singles_198.png")</f>
        <v/>
      </c>
    </row>
    <row r="199" ht="34.5" customHeight="1">
      <c r="A199" s="18" t="s">
        <v>3792</v>
      </c>
      <c r="B199" s="16" t="str">
        <f>IMAGE("https://lmztiles.s3.eu-west-1.amazonaws.com/Modern_Interiors_v41.3.4/1_Interiors/16x16/Theme_Sorter_Singles/18_Jail_Singles/Jail_Singles_199.png")</f>
        <v/>
      </c>
    </row>
    <row r="200" ht="34.5" customHeight="1">
      <c r="A200" s="18" t="s">
        <v>3793</v>
      </c>
      <c r="B200" s="16" t="str">
        <f>IMAGE("https://lmztiles.s3.eu-west-1.amazonaws.com/Modern_Interiors_v41.3.4/1_Interiors/16x16/Theme_Sorter_Singles/18_Jail_Singles/Jail_Singles_200.png")</f>
        <v/>
      </c>
    </row>
    <row r="201" ht="34.5" customHeight="1">
      <c r="A201" s="18" t="s">
        <v>3794</v>
      </c>
      <c r="B201" s="16" t="str">
        <f>IMAGE("https://lmztiles.s3.eu-west-1.amazonaws.com/Modern_Interiors_v41.3.4/1_Interiors/16x16/Theme_Sorter_Singles/18_Jail_Singles/Jail_Singles_201.png")</f>
        <v/>
      </c>
    </row>
    <row r="202" ht="34.5" customHeight="1">
      <c r="A202" s="18" t="s">
        <v>3795</v>
      </c>
      <c r="B202" s="16" t="str">
        <f>IMAGE("https://lmztiles.s3.eu-west-1.amazonaws.com/Modern_Interiors_v41.3.4/1_Interiors/16x16/Theme_Sorter_Singles/18_Jail_Singles/Jail_Singles_202.png")</f>
        <v/>
      </c>
    </row>
    <row r="203" ht="34.5" customHeight="1">
      <c r="A203" s="18" t="s">
        <v>3796</v>
      </c>
      <c r="B203" s="16" t="str">
        <f>IMAGE("https://lmztiles.s3.eu-west-1.amazonaws.com/Modern_Interiors_v41.3.4/1_Interiors/16x16/Theme_Sorter_Singles/18_Jail_Singles/Jail_Singles_203.png")</f>
        <v/>
      </c>
    </row>
    <row r="204" ht="34.5" customHeight="1">
      <c r="A204" s="18" t="s">
        <v>3797</v>
      </c>
      <c r="B204" s="16" t="str">
        <f>IMAGE("https://lmztiles.s3.eu-west-1.amazonaws.com/Modern_Interiors_v41.3.4/1_Interiors/16x16/Theme_Sorter_Singles/18_Jail_Singles/Jail_Singles_204.png")</f>
        <v/>
      </c>
    </row>
    <row r="205" ht="34.5" customHeight="1">
      <c r="A205" s="18" t="s">
        <v>3798</v>
      </c>
      <c r="B205" s="16" t="str">
        <f>IMAGE("https://lmztiles.s3.eu-west-1.amazonaws.com/Modern_Interiors_v41.3.4/1_Interiors/16x16/Theme_Sorter_Singles/18_Jail_Singles/Jail_Singles_205.png")</f>
        <v/>
      </c>
    </row>
    <row r="206" ht="34.5" customHeight="1">
      <c r="A206" s="18" t="s">
        <v>3799</v>
      </c>
      <c r="B206" s="16" t="str">
        <f>IMAGE("https://lmztiles.s3.eu-west-1.amazonaws.com/Modern_Interiors_v41.3.4/1_Interiors/16x16/Theme_Sorter_Singles/18_Jail_Singles/Jail_Singles_206.png")</f>
        <v/>
      </c>
    </row>
    <row r="207" ht="34.5" customHeight="1">
      <c r="A207" s="18" t="s">
        <v>3800</v>
      </c>
      <c r="B207" s="16" t="str">
        <f>IMAGE("https://lmztiles.s3.eu-west-1.amazonaws.com/Modern_Interiors_v41.3.4/1_Interiors/16x16/Theme_Sorter_Singles/18_Jail_Singles/Jail_Singles_207.png")</f>
        <v/>
      </c>
    </row>
    <row r="208" ht="34.5" customHeight="1">
      <c r="A208" s="18" t="s">
        <v>3801</v>
      </c>
      <c r="B208" s="16" t="str">
        <f>IMAGE("https://lmztiles.s3.eu-west-1.amazonaws.com/Modern_Interiors_v41.3.4/1_Interiors/16x16/Theme_Sorter_Singles/18_Jail_Singles/Jail_Singles_208.png")</f>
        <v/>
      </c>
    </row>
    <row r="209" ht="34.5" customHeight="1">
      <c r="A209" s="18" t="s">
        <v>3802</v>
      </c>
      <c r="B209" s="16" t="str">
        <f>IMAGE("https://lmztiles.s3.eu-west-1.amazonaws.com/Modern_Interiors_v41.3.4/1_Interiors/16x16/Theme_Sorter_Singles/18_Jail_Singles/Jail_Singles_209.png")</f>
        <v/>
      </c>
    </row>
    <row r="210" ht="34.5" customHeight="1">
      <c r="A210" s="18" t="s">
        <v>3803</v>
      </c>
      <c r="B210" s="16" t="str">
        <f>IMAGE("https://lmztiles.s3.eu-west-1.amazonaws.com/Modern_Interiors_v41.3.4/1_Interiors/16x16/Theme_Sorter_Singles/18_Jail_Singles/Jail_Singles_210.png")</f>
        <v/>
      </c>
    </row>
    <row r="211" ht="34.5" customHeight="1">
      <c r="A211" s="18" t="s">
        <v>3804</v>
      </c>
      <c r="B211" s="16" t="str">
        <f>IMAGE("https://lmztiles.s3.eu-west-1.amazonaws.com/Modern_Interiors_v41.3.4/1_Interiors/16x16/Theme_Sorter_Singles/18_Jail_Singles/Jail_Singles_211.png")</f>
        <v/>
      </c>
    </row>
    <row r="212" ht="34.5" customHeight="1">
      <c r="A212" s="18" t="s">
        <v>3805</v>
      </c>
      <c r="B212" s="16" t="str">
        <f>IMAGE("https://lmztiles.s3.eu-west-1.amazonaws.com/Modern_Interiors_v41.3.4/1_Interiors/16x16/Theme_Sorter_Singles/18_Jail_Singles/Jail_Singles_212.png")</f>
        <v/>
      </c>
    </row>
    <row r="213" ht="34.5" customHeight="1">
      <c r="A213" s="18" t="s">
        <v>3806</v>
      </c>
      <c r="B213" s="16" t="str">
        <f>IMAGE("https://lmztiles.s3.eu-west-1.amazonaws.com/Modern_Interiors_v41.3.4/1_Interiors/16x16/Theme_Sorter_Singles/18_Jail_Singles/Jail_Singles_213.png")</f>
        <v/>
      </c>
    </row>
    <row r="214" ht="34.5" customHeight="1">
      <c r="A214" s="18" t="s">
        <v>3807</v>
      </c>
      <c r="B214" s="16" t="str">
        <f>IMAGE("https://lmztiles.s3.eu-west-1.amazonaws.com/Modern_Interiors_v41.3.4/1_Interiors/16x16/Theme_Sorter_Singles/18_Jail_Singles/Jail_Singles_214.png")</f>
        <v/>
      </c>
    </row>
    <row r="215" ht="34.5" customHeight="1">
      <c r="A215" s="18" t="s">
        <v>3808</v>
      </c>
      <c r="B215" s="16" t="str">
        <f>IMAGE("https://lmztiles.s3.eu-west-1.amazonaws.com/Modern_Interiors_v41.3.4/1_Interiors/16x16/Theme_Sorter_Singles/18_Jail_Singles/Jail_Singles_215.png")</f>
        <v/>
      </c>
    </row>
    <row r="216" ht="34.5" customHeight="1">
      <c r="A216" s="18" t="s">
        <v>3809</v>
      </c>
      <c r="B216" s="16" t="str">
        <f>IMAGE("https://lmztiles.s3.eu-west-1.amazonaws.com/Modern_Interiors_v41.3.4/1_Interiors/16x16/Theme_Sorter_Singles/18_Jail_Singles/Jail_Singles_216.png")</f>
        <v/>
      </c>
    </row>
    <row r="217" ht="34.5" customHeight="1">
      <c r="A217" s="18" t="s">
        <v>3810</v>
      </c>
      <c r="B217" s="16" t="str">
        <f>IMAGE("https://lmztiles.s3.eu-west-1.amazonaws.com/Modern_Interiors_v41.3.4/1_Interiors/16x16/Theme_Sorter_Singles/18_Jail_Singles/Jail_Singles_217.png")</f>
        <v/>
      </c>
    </row>
    <row r="218" ht="34.5" customHeight="1">
      <c r="A218" s="18" t="s">
        <v>3811</v>
      </c>
      <c r="B218" s="16" t="str">
        <f>IMAGE("https://lmztiles.s3.eu-west-1.amazonaws.com/Modern_Interiors_v41.3.4/1_Interiors/16x16/Theme_Sorter_Singles/18_Jail_Singles/Jail_Singles_218.png")</f>
        <v/>
      </c>
    </row>
    <row r="219" ht="34.5" customHeight="1">
      <c r="A219" s="18" t="s">
        <v>3812</v>
      </c>
      <c r="B219" s="16" t="str">
        <f>IMAGE("https://lmztiles.s3.eu-west-1.amazonaws.com/Modern_Interiors_v41.3.4/1_Interiors/16x16/Theme_Sorter_Singles/18_Jail_Singles/Jail_Singles_219.png")</f>
        <v/>
      </c>
    </row>
    <row r="220" ht="34.5" customHeight="1">
      <c r="A220" s="18" t="s">
        <v>3813</v>
      </c>
      <c r="B220" s="16" t="str">
        <f>IMAGE("https://lmztiles.s3.eu-west-1.amazonaws.com/Modern_Interiors_v41.3.4/1_Interiors/16x16/Theme_Sorter_Singles/18_Jail_Singles/Jail_Singles_220.png")</f>
        <v/>
      </c>
    </row>
    <row r="221" ht="34.5" customHeight="1">
      <c r="A221" s="18" t="s">
        <v>3814</v>
      </c>
      <c r="B221" s="16" t="str">
        <f>IMAGE("https://lmztiles.s3.eu-west-1.amazonaws.com/Modern_Interiors_v41.3.4/1_Interiors/16x16/Theme_Sorter_Singles/18_Jail_Singles/Jail_Singles_221.png")</f>
        <v/>
      </c>
    </row>
    <row r="222" ht="34.5" customHeight="1">
      <c r="A222" s="18" t="s">
        <v>3815</v>
      </c>
      <c r="B222" s="16" t="str">
        <f>IMAGE("https://lmztiles.s3.eu-west-1.amazonaws.com/Modern_Interiors_v41.3.4/1_Interiors/16x16/Theme_Sorter_Singles/18_Jail_Singles/Jail_Singles_222.png")</f>
        <v/>
      </c>
    </row>
    <row r="223" ht="34.5" customHeight="1">
      <c r="A223" s="18" t="s">
        <v>3816</v>
      </c>
      <c r="B223" s="16" t="str">
        <f>IMAGE("https://lmztiles.s3.eu-west-1.amazonaws.com/Modern_Interiors_v41.3.4/1_Interiors/16x16/Theme_Sorter_Singles/18_Jail_Singles/Jail_Singles_223.png")</f>
        <v/>
      </c>
    </row>
    <row r="224" ht="34.5" customHeight="1">
      <c r="A224" s="18" t="s">
        <v>3817</v>
      </c>
      <c r="B224" s="16" t="str">
        <f>IMAGE("https://lmztiles.s3.eu-west-1.amazonaws.com/Modern_Interiors_v41.3.4/1_Interiors/16x16/Theme_Sorter_Singles/18_Jail_Singles/Jail_Singles_224.png")</f>
        <v/>
      </c>
    </row>
    <row r="225" ht="34.5" customHeight="1">
      <c r="A225" s="18" t="s">
        <v>3818</v>
      </c>
      <c r="B225" s="16" t="str">
        <f>IMAGE("https://lmztiles.s3.eu-west-1.amazonaws.com/Modern_Interiors_v41.3.4/1_Interiors/16x16/Theme_Sorter_Singles/18_Jail_Singles/Jail_Singles_225.png")</f>
        <v/>
      </c>
    </row>
    <row r="226" ht="34.5" customHeight="1">
      <c r="A226" s="18" t="s">
        <v>3819</v>
      </c>
      <c r="B226" s="16" t="str">
        <f>IMAGE("https://lmztiles.s3.eu-west-1.amazonaws.com/Modern_Interiors_v41.3.4/1_Interiors/16x16/Theme_Sorter_Singles/18_Jail_Singles/Jail_Singles_226.png")</f>
        <v/>
      </c>
    </row>
    <row r="227" ht="34.5" customHeight="1">
      <c r="A227" s="18" t="s">
        <v>3820</v>
      </c>
      <c r="B227" s="16" t="str">
        <f>IMAGE("https://lmztiles.s3.eu-west-1.amazonaws.com/Modern_Interiors_v41.3.4/1_Interiors/16x16/Theme_Sorter_Singles/18_Jail_Singles/Jail_Singles_227.png")</f>
        <v/>
      </c>
    </row>
    <row r="228" ht="34.5" customHeight="1">
      <c r="A228" s="18" t="s">
        <v>3821</v>
      </c>
      <c r="B228" s="16" t="str">
        <f>IMAGE("https://lmztiles.s3.eu-west-1.amazonaws.com/Modern_Interiors_v41.3.4/1_Interiors/16x16/Theme_Sorter_Singles/18_Jail_Singles/Jail_Singles_228.png")</f>
        <v/>
      </c>
    </row>
    <row r="229" ht="34.5" customHeight="1">
      <c r="A229" s="18" t="s">
        <v>3822</v>
      </c>
      <c r="B229" s="16" t="str">
        <f>IMAGE("https://lmztiles.s3.eu-west-1.amazonaws.com/Modern_Interiors_v41.3.4/1_Interiors/16x16/Theme_Sorter_Singles/18_Jail_Singles/Jail_Singles_229.png")</f>
        <v/>
      </c>
    </row>
    <row r="230" ht="34.5" customHeight="1">
      <c r="A230" s="18" t="s">
        <v>3823</v>
      </c>
      <c r="B230" s="16" t="str">
        <f>IMAGE("https://lmztiles.s3.eu-west-1.amazonaws.com/Modern_Interiors_v41.3.4/1_Interiors/16x16/Theme_Sorter_Singles/18_Jail_Singles/Jail_Singles_230.png")</f>
        <v/>
      </c>
    </row>
    <row r="231" ht="34.5" customHeight="1">
      <c r="A231" s="18" t="s">
        <v>3824</v>
      </c>
      <c r="B231" s="16" t="str">
        <f>IMAGE("https://lmztiles.s3.eu-west-1.amazonaws.com/Modern_Interiors_v41.3.4/1_Interiors/16x16/Theme_Sorter_Singles/18_Jail_Singles/Jail_Singles_231.png")</f>
        <v/>
      </c>
    </row>
    <row r="232" ht="34.5" customHeight="1">
      <c r="A232" s="18" t="s">
        <v>3825</v>
      </c>
      <c r="B232" s="16" t="str">
        <f>IMAGE("https://lmztiles.s3.eu-west-1.amazonaws.com/Modern_Interiors_v41.3.4/1_Interiors/16x16/Theme_Sorter_Singles/18_Jail_Singles/Jail_Singles_232.png")</f>
        <v/>
      </c>
    </row>
    <row r="233" ht="34.5" customHeight="1">
      <c r="A233" s="18" t="s">
        <v>3826</v>
      </c>
      <c r="B233" s="16" t="str">
        <f>IMAGE("https://lmztiles.s3.eu-west-1.amazonaws.com/Modern_Interiors_v41.3.4/1_Interiors/16x16/Theme_Sorter_Singles/18_Jail_Singles/Jail_Singles_233.png")</f>
        <v/>
      </c>
    </row>
    <row r="234" ht="34.5" customHeight="1">
      <c r="A234" s="18" t="s">
        <v>3827</v>
      </c>
      <c r="B234" s="16" t="str">
        <f>IMAGE("https://lmztiles.s3.eu-west-1.amazonaws.com/Modern_Interiors_v41.3.4/1_Interiors/16x16/Theme_Sorter_Singles/18_Jail_Singles/Jail_Singles_234.png")</f>
        <v/>
      </c>
    </row>
    <row r="235" ht="34.5" customHeight="1">
      <c r="A235" s="18" t="s">
        <v>3828</v>
      </c>
      <c r="B235" s="16" t="str">
        <f>IMAGE("https://lmztiles.s3.eu-west-1.amazonaws.com/Modern_Interiors_v41.3.4/1_Interiors/16x16/Theme_Sorter_Singles/18_Jail_Singles/Jail_Singles_235.png")</f>
        <v/>
      </c>
    </row>
    <row r="236" ht="34.5" customHeight="1">
      <c r="A236" s="18" t="s">
        <v>3829</v>
      </c>
      <c r="B236" s="16" t="str">
        <f>IMAGE("https://lmztiles.s3.eu-west-1.amazonaws.com/Modern_Interiors_v41.3.4/1_Interiors/16x16/Theme_Sorter_Singles/18_Jail_Singles/Jail_Singles_236.png")</f>
        <v/>
      </c>
    </row>
    <row r="237" ht="34.5" customHeight="1">
      <c r="A237" s="18" t="s">
        <v>3830</v>
      </c>
      <c r="B237" s="16" t="str">
        <f>IMAGE("https://lmztiles.s3.eu-west-1.amazonaws.com/Modern_Interiors_v41.3.4/1_Interiors/16x16/Theme_Sorter_Singles/18_Jail_Singles/Jail_Singles_237.png")</f>
        <v/>
      </c>
    </row>
    <row r="238" ht="34.5" customHeight="1">
      <c r="A238" s="18" t="s">
        <v>3831</v>
      </c>
      <c r="B238" s="16" t="str">
        <f>IMAGE("https://lmztiles.s3.eu-west-1.amazonaws.com/Modern_Interiors_v41.3.4/1_Interiors/16x16/Theme_Sorter_Singles/18_Jail_Singles/Jail_Singles_238.png")</f>
        <v/>
      </c>
    </row>
    <row r="239" ht="34.5" customHeight="1">
      <c r="A239" s="18" t="s">
        <v>3832</v>
      </c>
      <c r="B239" s="16" t="str">
        <f>IMAGE("https://lmztiles.s3.eu-west-1.amazonaws.com/Modern_Interiors_v41.3.4/1_Interiors/16x16/Theme_Sorter_Singles/18_Jail_Singles/Jail_Singles_239.png")</f>
        <v/>
      </c>
    </row>
    <row r="240" ht="34.5" customHeight="1">
      <c r="A240" s="18" t="s">
        <v>3833</v>
      </c>
      <c r="B240" s="16" t="str">
        <f>IMAGE("https://lmztiles.s3.eu-west-1.amazonaws.com/Modern_Interiors_v41.3.4/1_Interiors/16x16/Theme_Sorter_Singles/18_Jail_Singles/Jail_Singles_240.png")</f>
        <v/>
      </c>
    </row>
    <row r="241" ht="34.5" customHeight="1">
      <c r="A241" s="18" t="s">
        <v>3834</v>
      </c>
      <c r="B241" s="16" t="str">
        <f>IMAGE("https://lmztiles.s3.eu-west-1.amazonaws.com/Modern_Interiors_v41.3.4/1_Interiors/16x16/Theme_Sorter_Singles/18_Jail_Singles/Jail_Singles_241.png")</f>
        <v/>
      </c>
    </row>
    <row r="242" ht="34.5" customHeight="1">
      <c r="A242" s="18" t="s">
        <v>3835</v>
      </c>
      <c r="B242" s="16" t="str">
        <f>IMAGE("https://lmztiles.s3.eu-west-1.amazonaws.com/Modern_Interiors_v41.3.4/1_Interiors/16x16/Theme_Sorter_Singles/18_Jail_Singles/Jail_Singles_242.png")</f>
        <v/>
      </c>
    </row>
    <row r="243" ht="34.5" customHeight="1">
      <c r="A243" s="18" t="s">
        <v>3836</v>
      </c>
      <c r="B243" s="16" t="str">
        <f>IMAGE("https://lmztiles.s3.eu-west-1.amazonaws.com/Modern_Interiors_v41.3.4/1_Interiors/16x16/Theme_Sorter_Singles/18_Jail_Singles/Jail_Singles_243.png")</f>
        <v/>
      </c>
    </row>
    <row r="244" ht="34.5" customHeight="1">
      <c r="A244" s="18" t="s">
        <v>3837</v>
      </c>
      <c r="B244" s="16" t="str">
        <f>IMAGE("https://lmztiles.s3.eu-west-1.amazonaws.com/Modern_Interiors_v41.3.4/1_Interiors/16x16/Theme_Sorter_Singles/18_Jail_Singles/Jail_Singles_244.png")</f>
        <v/>
      </c>
    </row>
    <row r="245" ht="34.5" customHeight="1">
      <c r="A245" s="18" t="s">
        <v>3838</v>
      </c>
      <c r="B245" s="16" t="str">
        <f>IMAGE("https://lmztiles.s3.eu-west-1.amazonaws.com/Modern_Interiors_v41.3.4/1_Interiors/16x16/Theme_Sorter_Singles/18_Jail_Singles/Jail_Singles_245.png")</f>
        <v/>
      </c>
    </row>
    <row r="246" ht="34.5" customHeight="1">
      <c r="A246" s="18" t="s">
        <v>3839</v>
      </c>
      <c r="B246" s="16" t="str">
        <f>IMAGE("https://lmztiles.s3.eu-west-1.amazonaws.com/Modern_Interiors_v41.3.4/1_Interiors/16x16/Theme_Sorter_Singles/18_Jail_Singles/Jail_Singles_246.png")</f>
        <v/>
      </c>
    </row>
    <row r="247" ht="34.5" customHeight="1">
      <c r="A247" s="18" t="s">
        <v>3840</v>
      </c>
      <c r="B247" s="16" t="str">
        <f>IMAGE("https://lmztiles.s3.eu-west-1.amazonaws.com/Modern_Interiors_v41.3.4/1_Interiors/16x16/Theme_Sorter_Singles/18_Jail_Singles/Jail_Singles_247.png")</f>
        <v/>
      </c>
    </row>
    <row r="248" ht="34.5" customHeight="1">
      <c r="A248" s="18" t="s">
        <v>3841</v>
      </c>
      <c r="B248" s="16" t="str">
        <f>IMAGE("https://lmztiles.s3.eu-west-1.amazonaws.com/Modern_Interiors_v41.3.4/1_Interiors/16x16/Theme_Sorter_Singles/18_Jail_Singles/Jail_Singles_248.png")</f>
        <v/>
      </c>
    </row>
    <row r="249" ht="34.5" customHeight="1">
      <c r="A249" s="18" t="s">
        <v>3842</v>
      </c>
      <c r="B249" s="16" t="str">
        <f>IMAGE("https://lmztiles.s3.eu-west-1.amazonaws.com/Modern_Interiors_v41.3.4/1_Interiors/16x16/Theme_Sorter_Singles/18_Jail_Singles/Jail_Singles_249.png")</f>
        <v/>
      </c>
    </row>
    <row r="250" ht="34.5" customHeight="1">
      <c r="A250" s="18" t="s">
        <v>3843</v>
      </c>
      <c r="B250" s="16" t="str">
        <f>IMAGE("https://lmztiles.s3.eu-west-1.amazonaws.com/Modern_Interiors_v41.3.4/1_Interiors/16x16/Theme_Sorter_Singles/18_Jail_Singles/Jail_Singles_250.png")</f>
        <v/>
      </c>
    </row>
    <row r="251" ht="34.5" customHeight="1">
      <c r="A251" s="18" t="s">
        <v>3844</v>
      </c>
      <c r="B251" s="16" t="str">
        <f>IMAGE("https://lmztiles.s3.eu-west-1.amazonaws.com/Modern_Interiors_v41.3.4/1_Interiors/16x16/Theme_Sorter_Singles/18_Jail_Singles/Jail_Singles_251.png")</f>
        <v/>
      </c>
    </row>
    <row r="252" ht="34.5" customHeight="1">
      <c r="A252" s="18" t="s">
        <v>3845</v>
      </c>
      <c r="B252" s="16" t="str">
        <f>IMAGE("https://lmztiles.s3.eu-west-1.amazonaws.com/Modern_Interiors_v41.3.4/1_Interiors/16x16/Theme_Sorter_Singles/18_Jail_Singles/Jail_Singles_252.png")</f>
        <v/>
      </c>
    </row>
    <row r="253" ht="34.5" customHeight="1">
      <c r="A253" s="18" t="s">
        <v>3846</v>
      </c>
      <c r="B253" s="16" t="str">
        <f>IMAGE("https://lmztiles.s3.eu-west-1.amazonaws.com/Modern_Interiors_v41.3.4/1_Interiors/16x16/Theme_Sorter_Singles/18_Jail_Singles/Jail_Singles_253.png")</f>
        <v/>
      </c>
    </row>
    <row r="254" ht="34.5" customHeight="1">
      <c r="A254" s="18" t="s">
        <v>3847</v>
      </c>
      <c r="B254" s="16" t="str">
        <f>IMAGE("https://lmztiles.s3.eu-west-1.amazonaws.com/Modern_Interiors_v41.3.4/1_Interiors/16x16/Theme_Sorter_Singles/18_Jail_Singles/Jail_Singles_254.png")</f>
        <v/>
      </c>
    </row>
    <row r="255" ht="34.5" customHeight="1">
      <c r="A255" s="18" t="s">
        <v>3848</v>
      </c>
      <c r="B255" s="16" t="str">
        <f>IMAGE("https://lmztiles.s3.eu-west-1.amazonaws.com/Modern_Interiors_v41.3.4/1_Interiors/16x16/Theme_Sorter_Singles/18_Jail_Singles/Jail_Singles_255.png")</f>
        <v/>
      </c>
    </row>
    <row r="256" ht="34.5" customHeight="1">
      <c r="A256" s="18" t="s">
        <v>3849</v>
      </c>
      <c r="B256" s="16" t="str">
        <f>IMAGE("https://lmztiles.s3.eu-west-1.amazonaws.com/Modern_Interiors_v41.3.4/1_Interiors/16x16/Theme_Sorter_Singles/18_Jail_Singles/Jail_Singles_256.png")</f>
        <v/>
      </c>
    </row>
    <row r="257" ht="34.5" customHeight="1">
      <c r="A257" s="18" t="s">
        <v>3850</v>
      </c>
      <c r="B257" s="16" t="str">
        <f>IMAGE("https://lmztiles.s3.eu-west-1.amazonaws.com/Modern_Interiors_v41.3.4/1_Interiors/16x16/Theme_Sorter_Singles/18_Jail_Singles/Jail_Singles_257.png")</f>
        <v/>
      </c>
    </row>
    <row r="258" ht="34.5" customHeight="1">
      <c r="A258" s="18" t="s">
        <v>3851</v>
      </c>
      <c r="B258" s="16" t="str">
        <f>IMAGE("https://lmztiles.s3.eu-west-1.amazonaws.com/Modern_Interiors_v41.3.4/1_Interiors/16x16/Theme_Sorter_Singles/18_Jail_Singles/Jail_Singles_258.png")</f>
        <v/>
      </c>
    </row>
    <row r="259" ht="34.5" customHeight="1">
      <c r="A259" s="18" t="s">
        <v>3852</v>
      </c>
      <c r="B259" s="16" t="str">
        <f>IMAGE("https://lmztiles.s3.eu-west-1.amazonaws.com/Modern_Interiors_v41.3.4/1_Interiors/16x16/Theme_Sorter_Singles/18_Jail_Singles/Jail_Singles_259.png")</f>
        <v/>
      </c>
    </row>
    <row r="260" ht="34.5" customHeight="1">
      <c r="A260" s="18" t="s">
        <v>3853</v>
      </c>
      <c r="B260" s="16" t="str">
        <f>IMAGE("https://lmztiles.s3.eu-west-1.amazonaws.com/Modern_Interiors_v41.3.4/1_Interiors/16x16/Theme_Sorter_Singles/18_Jail_Singles/Jail_Singles_260.png")</f>
        <v/>
      </c>
    </row>
    <row r="261" ht="34.5" customHeight="1">
      <c r="A261" s="18" t="s">
        <v>3854</v>
      </c>
      <c r="B261" s="16" t="str">
        <f>IMAGE("https://lmztiles.s3.eu-west-1.amazonaws.com/Modern_Interiors_v41.3.4/1_Interiors/16x16/Theme_Sorter_Singles/18_Jail_Singles/Jail_Singles_261.png")</f>
        <v/>
      </c>
    </row>
    <row r="262" ht="34.5" customHeight="1">
      <c r="A262" s="18" t="s">
        <v>3855</v>
      </c>
      <c r="B262" s="16" t="str">
        <f>IMAGE("https://lmztiles.s3.eu-west-1.amazonaws.com/Modern_Interiors_v41.3.4/1_Interiors/16x16/Theme_Sorter_Singles/18_Jail_Singles/Jail_Singles_262.png")</f>
        <v/>
      </c>
    </row>
    <row r="263" ht="34.5" customHeight="1">
      <c r="A263" s="18" t="s">
        <v>3856</v>
      </c>
      <c r="B263" s="16" t="str">
        <f>IMAGE("https://lmztiles.s3.eu-west-1.amazonaws.com/Modern_Interiors_v41.3.4/1_Interiors/16x16/Theme_Sorter_Singles/18_Jail_Singles/Jail_Singles_263.png")</f>
        <v/>
      </c>
    </row>
    <row r="264" ht="34.5" customHeight="1">
      <c r="A264" s="18" t="s">
        <v>3857</v>
      </c>
      <c r="B264" s="16" t="str">
        <f>IMAGE("https://lmztiles.s3.eu-west-1.amazonaws.com/Modern_Interiors_v41.3.4/1_Interiors/16x16/Theme_Sorter_Singles/18_Jail_Singles/Jail_Singles_264.png")</f>
        <v/>
      </c>
    </row>
    <row r="265" ht="34.5" customHeight="1">
      <c r="A265" s="18" t="s">
        <v>3858</v>
      </c>
      <c r="B265" s="16" t="str">
        <f>IMAGE("https://lmztiles.s3.eu-west-1.amazonaws.com/Modern_Interiors_v41.3.4/1_Interiors/16x16/Theme_Sorter_Singles/18_Jail_Singles/Jail_Singles_265.png")</f>
        <v/>
      </c>
    </row>
    <row r="266" ht="34.5" customHeight="1">
      <c r="A266" s="18" t="s">
        <v>3859</v>
      </c>
      <c r="B266" s="16" t="str">
        <f>IMAGE("https://lmztiles.s3.eu-west-1.amazonaws.com/Modern_Interiors_v41.3.4/1_Interiors/16x16/Theme_Sorter_Singles/18_Jail_Singles/Jail_Singles_266.png")</f>
        <v/>
      </c>
    </row>
    <row r="267" ht="34.5" customHeight="1">
      <c r="A267" s="18" t="s">
        <v>3860</v>
      </c>
      <c r="B267" s="16" t="str">
        <f>IMAGE("https://lmztiles.s3.eu-west-1.amazonaws.com/Modern_Interiors_v41.3.4/1_Interiors/16x16/Theme_Sorter_Singles/18_Jail_Singles/Jail_Singles_267.png")</f>
        <v/>
      </c>
    </row>
    <row r="268" ht="34.5" customHeight="1">
      <c r="A268" s="18" t="s">
        <v>3861</v>
      </c>
      <c r="B268" s="16" t="str">
        <f>IMAGE("https://lmztiles.s3.eu-west-1.amazonaws.com/Modern_Interiors_v41.3.4/1_Interiors/16x16/Theme_Sorter_Singles/18_Jail_Singles/Jail_Singles_268.png")</f>
        <v/>
      </c>
    </row>
    <row r="269" ht="34.5" customHeight="1">
      <c r="A269" s="18" t="s">
        <v>3862</v>
      </c>
      <c r="B269" s="16" t="str">
        <f>IMAGE("https://lmztiles.s3.eu-west-1.amazonaws.com/Modern_Interiors_v41.3.4/1_Interiors/16x16/Theme_Sorter_Singles/18_Jail_Singles/Jail_Singles_269.png")</f>
        <v/>
      </c>
    </row>
    <row r="270" ht="34.5" customHeight="1">
      <c r="A270" s="18" t="s">
        <v>3863</v>
      </c>
      <c r="B270" s="16" t="str">
        <f>IMAGE("https://lmztiles.s3.eu-west-1.amazonaws.com/Modern_Interiors_v41.3.4/1_Interiors/16x16/Theme_Sorter_Singles/18_Jail_Singles/Jail_Singles_270.png")</f>
        <v/>
      </c>
    </row>
    <row r="271" ht="34.5" customHeight="1">
      <c r="A271" s="18" t="s">
        <v>3864</v>
      </c>
      <c r="B271" s="16" t="str">
        <f>IMAGE("https://lmztiles.s3.eu-west-1.amazonaws.com/Modern_Interiors_v41.3.4/1_Interiors/16x16/Theme_Sorter_Singles/18_Jail_Singles/Jail_Singles_271.png")</f>
        <v/>
      </c>
    </row>
    <row r="272" ht="34.5" customHeight="1">
      <c r="A272" s="18" t="s">
        <v>3865</v>
      </c>
      <c r="B272" s="16" t="str">
        <f>IMAGE("https://lmztiles.s3.eu-west-1.amazonaws.com/Modern_Interiors_v41.3.4/1_Interiors/16x16/Theme_Sorter_Singles/18_Jail_Singles/Jail_Singles_272.png")</f>
        <v/>
      </c>
    </row>
    <row r="273" ht="34.5" customHeight="1">
      <c r="A273" s="18" t="s">
        <v>3866</v>
      </c>
      <c r="B273" s="16" t="str">
        <f>IMAGE("https://lmztiles.s3.eu-west-1.amazonaws.com/Modern_Interiors_v41.3.4/1_Interiors/16x16/Theme_Sorter_Singles/18_Jail_Singles/Jail_Singles_273.png")</f>
        <v/>
      </c>
    </row>
    <row r="274" ht="34.5" customHeight="1">
      <c r="A274" s="18" t="s">
        <v>3867</v>
      </c>
      <c r="B274" s="16" t="str">
        <f>IMAGE("https://lmztiles.s3.eu-west-1.amazonaws.com/Modern_Interiors_v41.3.4/1_Interiors/16x16/Theme_Sorter_Singles/18_Jail_Singles/Jail_Singles_274.png")</f>
        <v/>
      </c>
    </row>
    <row r="275" ht="34.5" customHeight="1">
      <c r="A275" s="18" t="s">
        <v>3868</v>
      </c>
      <c r="B275" s="16" t="str">
        <f>IMAGE("https://lmztiles.s3.eu-west-1.amazonaws.com/Modern_Interiors_v41.3.4/1_Interiors/16x16/Theme_Sorter_Singles/18_Jail_Singles/Jail_Singles_275.png")</f>
        <v/>
      </c>
    </row>
    <row r="276" ht="34.5" customHeight="1">
      <c r="A276" s="18" t="s">
        <v>3869</v>
      </c>
      <c r="B276" s="16" t="str">
        <f>IMAGE("https://lmztiles.s3.eu-west-1.amazonaws.com/Modern_Interiors_v41.3.4/1_Interiors/16x16/Theme_Sorter_Singles/18_Jail_Singles/Jail_Singles_276.png")</f>
        <v/>
      </c>
    </row>
    <row r="277" ht="34.5" customHeight="1">
      <c r="A277" s="18" t="s">
        <v>3870</v>
      </c>
      <c r="B277" s="16" t="str">
        <f>IMAGE("https://lmztiles.s3.eu-west-1.amazonaws.com/Modern_Interiors_v41.3.4/1_Interiors/16x16/Theme_Sorter_Singles/18_Jail_Singles/Jail_Singles_277.png")</f>
        <v/>
      </c>
    </row>
    <row r="278" ht="34.5" customHeight="1">
      <c r="A278" s="18" t="s">
        <v>3871</v>
      </c>
      <c r="B278" s="16" t="str">
        <f>IMAGE("https://lmztiles.s3.eu-west-1.amazonaws.com/Modern_Interiors_v41.3.4/1_Interiors/16x16/Theme_Sorter_Singles/18_Jail_Singles/Jail_Singles_278.png")</f>
        <v/>
      </c>
    </row>
    <row r="279" ht="34.5" customHeight="1">
      <c r="A279" s="18" t="s">
        <v>3872</v>
      </c>
      <c r="B279" s="16" t="str">
        <f>IMAGE("https://lmztiles.s3.eu-west-1.amazonaws.com/Modern_Interiors_v41.3.4/1_Interiors/16x16/Theme_Sorter_Singles/18_Jail_Singles/Jail_Singles_279.png")</f>
        <v/>
      </c>
    </row>
    <row r="280" ht="34.5" customHeight="1">
      <c r="A280" s="18" t="s">
        <v>3873</v>
      </c>
      <c r="B280" s="16" t="str">
        <f>IMAGE("https://lmztiles.s3.eu-west-1.amazonaws.com/Modern_Interiors_v41.3.4/1_Interiors/16x16/Theme_Sorter_Singles/18_Jail_Singles/Jail_Singles_280.png")</f>
        <v/>
      </c>
    </row>
    <row r="281" ht="34.5" customHeight="1">
      <c r="A281" s="18" t="s">
        <v>3874</v>
      </c>
      <c r="B281" s="16" t="str">
        <f>IMAGE("https://lmztiles.s3.eu-west-1.amazonaws.com/Modern_Interiors_v41.3.4/1_Interiors/16x16/Theme_Sorter_Singles/18_Jail_Singles/Jail_Singles_281.png")</f>
        <v/>
      </c>
    </row>
    <row r="282" ht="34.5" customHeight="1">
      <c r="A282" s="18" t="s">
        <v>3875</v>
      </c>
      <c r="B282" s="16" t="str">
        <f>IMAGE("https://lmztiles.s3.eu-west-1.amazonaws.com/Modern_Interiors_v41.3.4/1_Interiors/16x16/Theme_Sorter_Singles/18_Jail_Singles/Jail_Singles_282.png")</f>
        <v/>
      </c>
    </row>
    <row r="283" ht="34.5" customHeight="1">
      <c r="A283" s="18" t="s">
        <v>3876</v>
      </c>
      <c r="B283" s="16" t="str">
        <f>IMAGE("https://lmztiles.s3.eu-west-1.amazonaws.com/Modern_Interiors_v41.3.4/1_Interiors/16x16/Theme_Sorter_Singles/18_Jail_Singles/Jail_Singles_283.png")</f>
        <v/>
      </c>
    </row>
    <row r="284" ht="34.5" customHeight="1">
      <c r="A284" s="18" t="s">
        <v>3877</v>
      </c>
      <c r="B284" s="16" t="str">
        <f>IMAGE("https://lmztiles.s3.eu-west-1.amazonaws.com/Modern_Interiors_v41.3.4/1_Interiors/16x16/Theme_Sorter_Singles/18_Jail_Singles/Jail_Singles_284.png")</f>
        <v/>
      </c>
    </row>
    <row r="285" ht="34.5" customHeight="1">
      <c r="A285" s="18" t="s">
        <v>3878</v>
      </c>
      <c r="B285" s="16" t="str">
        <f>IMAGE("https://lmztiles.s3.eu-west-1.amazonaws.com/Modern_Interiors_v41.3.4/1_Interiors/16x16/Theme_Sorter_Singles/18_Jail_Singles/Jail_Singles_285.png")</f>
        <v/>
      </c>
    </row>
    <row r="286" ht="34.5" customHeight="1">
      <c r="A286" s="18" t="s">
        <v>3879</v>
      </c>
      <c r="B286" s="16" t="str">
        <f>IMAGE("https://lmztiles.s3.eu-west-1.amazonaws.com/Modern_Interiors_v41.3.4/1_Interiors/16x16/Theme_Sorter_Singles/18_Jail_Singles/Jail_Singles_286.png")</f>
        <v/>
      </c>
    </row>
    <row r="287" ht="34.5" customHeight="1">
      <c r="A287" s="18" t="s">
        <v>3880</v>
      </c>
      <c r="B287" s="16" t="str">
        <f>IMAGE("https://lmztiles.s3.eu-west-1.amazonaws.com/Modern_Interiors_v41.3.4/1_Interiors/16x16/Theme_Sorter_Singles/18_Jail_Singles/Jail_Singles_287.png")</f>
        <v/>
      </c>
    </row>
    <row r="288" ht="34.5" customHeight="1">
      <c r="A288" s="18" t="s">
        <v>3881</v>
      </c>
      <c r="B288" s="16" t="str">
        <f>IMAGE("https://lmztiles.s3.eu-west-1.amazonaws.com/Modern_Interiors_v41.3.4/1_Interiors/16x16/Theme_Sorter_Singles/18_Jail_Singles/Jail_Singles_288.png")</f>
        <v/>
      </c>
    </row>
    <row r="289" ht="34.5" customHeight="1">
      <c r="A289" s="18" t="s">
        <v>3882</v>
      </c>
      <c r="B289" s="16" t="str">
        <f>IMAGE("https://lmztiles.s3.eu-west-1.amazonaws.com/Modern_Interiors_v41.3.4/1_Interiors/16x16/Theme_Sorter_Singles/18_Jail_Singles/Jail_Singles_289.png")</f>
        <v/>
      </c>
    </row>
    <row r="290" ht="34.5" customHeight="1">
      <c r="A290" s="18" t="s">
        <v>3883</v>
      </c>
      <c r="B290" s="16" t="str">
        <f>IMAGE("https://lmztiles.s3.eu-west-1.amazonaws.com/Modern_Interiors_v41.3.4/1_Interiors/16x16/Theme_Sorter_Singles/18_Jail_Singles/Jail_Singles_290.png")</f>
        <v/>
      </c>
    </row>
    <row r="291" ht="34.5" customHeight="1">
      <c r="A291" s="18" t="s">
        <v>3884</v>
      </c>
      <c r="B291" s="16" t="str">
        <f>IMAGE("https://lmztiles.s3.eu-west-1.amazonaws.com/Modern_Interiors_v41.3.4/1_Interiors/16x16/Theme_Sorter_Singles/18_Jail_Singles/Jail_Singles_291.png")</f>
        <v/>
      </c>
    </row>
    <row r="292" ht="34.5" customHeight="1">
      <c r="A292" s="18" t="s">
        <v>3885</v>
      </c>
      <c r="B292" s="16" t="str">
        <f>IMAGE("https://lmztiles.s3.eu-west-1.amazonaws.com/Modern_Interiors_v41.3.4/1_Interiors/16x16/Theme_Sorter_Singles/18_Jail_Singles/Jail_Singles_292.png")</f>
        <v/>
      </c>
    </row>
    <row r="293" ht="34.5" customHeight="1">
      <c r="A293" s="18" t="s">
        <v>3886</v>
      </c>
      <c r="B293" s="16" t="str">
        <f>IMAGE("https://lmztiles.s3.eu-west-1.amazonaws.com/Modern_Interiors_v41.3.4/1_Interiors/16x16/Theme_Sorter_Singles/18_Jail_Singles/Jail_Singles_293.png")</f>
        <v/>
      </c>
    </row>
    <row r="294" ht="34.5" customHeight="1">
      <c r="A294" s="18" t="s">
        <v>3887</v>
      </c>
      <c r="B294" s="16" t="str">
        <f>IMAGE("https://lmztiles.s3.eu-west-1.amazonaws.com/Modern_Interiors_v41.3.4/1_Interiors/16x16/Theme_Sorter_Singles/18_Jail_Singles/Jail_Singles_294.png")</f>
        <v/>
      </c>
    </row>
    <row r="295" ht="34.5" customHeight="1">
      <c r="A295" s="18" t="s">
        <v>3888</v>
      </c>
      <c r="B295" s="16" t="str">
        <f>IMAGE("https://lmztiles.s3.eu-west-1.amazonaws.com/Modern_Interiors_v41.3.4/1_Interiors/16x16/Theme_Sorter_Singles/18_Jail_Singles/Jail_Singles_295.png")</f>
        <v/>
      </c>
    </row>
    <row r="296" ht="34.5" customHeight="1">
      <c r="A296" s="18" t="s">
        <v>3889</v>
      </c>
      <c r="B296" s="16" t="str">
        <f>IMAGE("https://lmztiles.s3.eu-west-1.amazonaws.com/Modern_Interiors_v41.3.4/1_Interiors/16x16/Theme_Sorter_Singles/18_Jail_Singles/Jail_Singles_296.png")</f>
        <v/>
      </c>
    </row>
    <row r="297" ht="34.5" customHeight="1">
      <c r="A297" s="18" t="s">
        <v>3890</v>
      </c>
      <c r="B297" s="16" t="str">
        <f>IMAGE("https://lmztiles.s3.eu-west-1.amazonaws.com/Modern_Interiors_v41.3.4/1_Interiors/16x16/Theme_Sorter_Singles/18_Jail_Singles/Jail_Singles_297.png")</f>
        <v/>
      </c>
    </row>
    <row r="298" ht="34.5" customHeight="1">
      <c r="A298" s="18" t="s">
        <v>3891</v>
      </c>
      <c r="B298" s="16" t="str">
        <f>IMAGE("https://lmztiles.s3.eu-west-1.amazonaws.com/Modern_Interiors_v41.3.4/1_Interiors/16x16/Theme_Sorter_Singles/18_Jail_Singles/Jail_Singles_298.png")</f>
        <v/>
      </c>
    </row>
    <row r="299" ht="34.5" customHeight="1">
      <c r="A299" s="18" t="s">
        <v>3892</v>
      </c>
      <c r="B299" s="16" t="str">
        <f>IMAGE("https://lmztiles.s3.eu-west-1.amazonaws.com/Modern_Interiors_v41.3.4/1_Interiors/16x16/Theme_Sorter_Singles/18_Jail_Singles/Jail_Singles_299.png")</f>
        <v/>
      </c>
    </row>
    <row r="300" ht="34.5" customHeight="1">
      <c r="A300" s="18" t="s">
        <v>3893</v>
      </c>
      <c r="B300" s="16" t="str">
        <f>IMAGE("https://lmztiles.s3.eu-west-1.amazonaws.com/Modern_Interiors_v41.3.4/1_Interiors/16x16/Theme_Sorter_Singles/18_Jail_Singles/Jail_Singles_300.png")</f>
        <v/>
      </c>
    </row>
    <row r="301" ht="34.5" customHeight="1">
      <c r="A301" s="18" t="s">
        <v>3894</v>
      </c>
      <c r="B301" s="16" t="str">
        <f>IMAGE("https://lmztiles.s3.eu-west-1.amazonaws.com/Modern_Interiors_v41.3.4/1_Interiors/16x16/Theme_Sorter_Singles/18_Jail_Singles/Jail_Singles_301.png")</f>
        <v/>
      </c>
    </row>
    <row r="302" ht="34.5" customHeight="1">
      <c r="A302" s="18" t="s">
        <v>3895</v>
      </c>
      <c r="B302" s="16" t="str">
        <f>IMAGE("https://lmztiles.s3.eu-west-1.amazonaws.com/Modern_Interiors_v41.3.4/1_Interiors/16x16/Theme_Sorter_Singles/18_Jail_Singles/Jail_Singles_302.png")</f>
        <v/>
      </c>
    </row>
    <row r="303" ht="34.5" customHeight="1">
      <c r="A303" s="18" t="s">
        <v>3896</v>
      </c>
      <c r="B303" s="16" t="str">
        <f>IMAGE("https://lmztiles.s3.eu-west-1.amazonaws.com/Modern_Interiors_v41.3.4/1_Interiors/16x16/Theme_Sorter_Singles/18_Jail_Singles/Jail_Singles_303.png")</f>
        <v/>
      </c>
    </row>
    <row r="304" ht="34.5" customHeight="1">
      <c r="A304" s="18" t="s">
        <v>3897</v>
      </c>
      <c r="B304" s="16" t="str">
        <f>IMAGE("https://lmztiles.s3.eu-west-1.amazonaws.com/Modern_Interiors_v41.3.4/1_Interiors/16x16/Theme_Sorter_Singles/18_Jail_Singles/Jail_Singles_304.png")</f>
        <v/>
      </c>
    </row>
    <row r="305" ht="34.5" customHeight="1">
      <c r="A305" s="18" t="s">
        <v>3898</v>
      </c>
      <c r="B305" s="16" t="str">
        <f>IMAGE("https://lmztiles.s3.eu-west-1.amazonaws.com/Modern_Interiors_v41.3.4/1_Interiors/16x16/Theme_Sorter_Singles/18_Jail_Singles/Jail_Singles_305.png")</f>
        <v/>
      </c>
    </row>
    <row r="306" ht="34.5" customHeight="1">
      <c r="A306" s="18" t="s">
        <v>3899</v>
      </c>
      <c r="B306" s="16" t="str">
        <f>IMAGE("https://lmztiles.s3.eu-west-1.amazonaws.com/Modern_Interiors_v41.3.4/1_Interiors/16x16/Theme_Sorter_Singles/18_Jail_Singles/Jail_Singles_306.png")</f>
        <v/>
      </c>
    </row>
    <row r="307" ht="34.5" customHeight="1">
      <c r="A307" s="18" t="s">
        <v>3900</v>
      </c>
      <c r="B307" s="16" t="str">
        <f>IMAGE("https://lmztiles.s3.eu-west-1.amazonaws.com/Modern_Interiors_v41.3.4/1_Interiors/16x16/Theme_Sorter_Singles/18_Jail_Singles/Jail_Singles_307.png")</f>
        <v/>
      </c>
    </row>
    <row r="308" ht="34.5" customHeight="1">
      <c r="A308" s="18" t="s">
        <v>3901</v>
      </c>
      <c r="B308" s="16" t="str">
        <f>IMAGE("https://lmztiles.s3.eu-west-1.amazonaws.com/Modern_Interiors_v41.3.4/1_Interiors/16x16/Theme_Sorter_Singles/18_Jail_Singles/Jail_Singles_308.png")</f>
        <v/>
      </c>
    </row>
    <row r="309" ht="34.5" customHeight="1">
      <c r="A309" s="18" t="s">
        <v>3902</v>
      </c>
      <c r="B309" s="16" t="str">
        <f>IMAGE("https://lmztiles.s3.eu-west-1.amazonaws.com/Modern_Interiors_v41.3.4/1_Interiors/16x16/Theme_Sorter_Singles/18_Jail_Singles/Jail_Singles_309.png")</f>
        <v/>
      </c>
    </row>
    <row r="310" ht="34.5" customHeight="1">
      <c r="A310" s="18" t="s">
        <v>3903</v>
      </c>
      <c r="B310" s="16" t="str">
        <f>IMAGE("https://lmztiles.s3.eu-west-1.amazonaws.com/Modern_Interiors_v41.3.4/1_Interiors/16x16/Theme_Sorter_Singles/18_Jail_Singles/Jail_Singles_310.png")</f>
        <v/>
      </c>
    </row>
    <row r="311" ht="34.5" customHeight="1">
      <c r="A311" s="18" t="s">
        <v>3904</v>
      </c>
      <c r="B311" s="16" t="str">
        <f>IMAGE("https://lmztiles.s3.eu-west-1.amazonaws.com/Modern_Interiors_v41.3.4/1_Interiors/16x16/Theme_Sorter_Singles/18_Jail_Singles/Jail_Singles_311.png")</f>
        <v/>
      </c>
    </row>
    <row r="312" ht="34.5" customHeight="1">
      <c r="A312" s="18" t="s">
        <v>3905</v>
      </c>
      <c r="B312" s="16" t="str">
        <f>IMAGE("https://lmztiles.s3.eu-west-1.amazonaws.com/Modern_Interiors_v41.3.4/1_Interiors/16x16/Theme_Sorter_Singles/18_Jail_Singles/Jail_Singles_312.png")</f>
        <v/>
      </c>
    </row>
    <row r="313" ht="34.5" customHeight="1">
      <c r="A313" s="18" t="s">
        <v>3906</v>
      </c>
      <c r="B313" s="16" t="str">
        <f>IMAGE("https://lmztiles.s3.eu-west-1.amazonaws.com/Modern_Interiors_v41.3.4/1_Interiors/16x16/Theme_Sorter_Singles/18_Jail_Singles/Jail_Singles_313.png")</f>
        <v/>
      </c>
    </row>
    <row r="314" ht="34.5" customHeight="1">
      <c r="A314" s="18" t="s">
        <v>3907</v>
      </c>
      <c r="B314" s="16" t="str">
        <f>IMAGE("https://lmztiles.s3.eu-west-1.amazonaws.com/Modern_Interiors_v41.3.4/1_Interiors/16x16/Theme_Sorter_Singles/18_Jail_Singles/Jail_Singles_314.png")</f>
        <v/>
      </c>
    </row>
    <row r="315" ht="34.5" customHeight="1">
      <c r="A315" s="18" t="s">
        <v>3908</v>
      </c>
      <c r="B315" s="16" t="str">
        <f>IMAGE("https://lmztiles.s3.eu-west-1.amazonaws.com/Modern_Interiors_v41.3.4/1_Interiors/16x16/Theme_Sorter_Singles/18_Jail_Singles/Jail_Singles_315.png")</f>
        <v/>
      </c>
    </row>
    <row r="316" ht="34.5" customHeight="1">
      <c r="A316" s="18" t="s">
        <v>3909</v>
      </c>
      <c r="B316" s="16" t="str">
        <f>IMAGE("https://lmztiles.s3.eu-west-1.amazonaws.com/Modern_Interiors_v41.3.4/1_Interiors/16x16/Theme_Sorter_Singles/18_Jail_Singles/Jail_Singles_316.png")</f>
        <v/>
      </c>
    </row>
    <row r="317" ht="34.5" customHeight="1">
      <c r="A317" s="18" t="s">
        <v>3910</v>
      </c>
      <c r="B317" s="16" t="str">
        <f>IMAGE("https://lmztiles.s3.eu-west-1.amazonaws.com/Modern_Interiors_v41.3.4/1_Interiors/16x16/Theme_Sorter_Singles/18_Jail_Singles/Jail_Singles_317.png")</f>
        <v/>
      </c>
    </row>
    <row r="318" ht="34.5" customHeight="1">
      <c r="A318" s="18" t="s">
        <v>3911</v>
      </c>
      <c r="B318" s="16" t="str">
        <f>IMAGE("https://lmztiles.s3.eu-west-1.amazonaws.com/Modern_Interiors_v41.3.4/1_Interiors/16x16/Theme_Sorter_Singles/18_Jail_Singles/Jail_Singles_318.png")</f>
        <v/>
      </c>
    </row>
    <row r="319" ht="34.5" customHeight="1">
      <c r="A319" s="18" t="s">
        <v>3912</v>
      </c>
      <c r="B319" s="16" t="str">
        <f>IMAGE("https://lmztiles.s3.eu-west-1.amazonaws.com/Modern_Interiors_v41.3.4/1_Interiors/16x16/Theme_Sorter_Singles/18_Jail_Singles/Jail_Singles_319.png")</f>
        <v/>
      </c>
    </row>
    <row r="320" ht="34.5" customHeight="1">
      <c r="A320" s="18" t="s">
        <v>3913</v>
      </c>
      <c r="B320" s="16" t="str">
        <f>IMAGE("https://lmztiles.s3.eu-west-1.amazonaws.com/Modern_Interiors_v41.3.4/1_Interiors/16x16/Theme_Sorter_Singles/18_Jail_Singles/Jail_Singles_320.png")</f>
        <v/>
      </c>
    </row>
    <row r="321" ht="34.5" customHeight="1">
      <c r="A321" s="18" t="s">
        <v>3914</v>
      </c>
      <c r="B321" s="16" t="str">
        <f>IMAGE("https://lmztiles.s3.eu-west-1.amazonaws.com/Modern_Interiors_v41.3.4/1_Interiors/16x16/Theme_Sorter_Singles/18_Jail_Singles/Jail_Singles_321.png")</f>
        <v/>
      </c>
    </row>
    <row r="322" ht="34.5" customHeight="1">
      <c r="A322" s="18" t="s">
        <v>3915</v>
      </c>
      <c r="B322" s="16" t="str">
        <f>IMAGE("https://lmztiles.s3.eu-west-1.amazonaws.com/Modern_Interiors_v41.3.4/1_Interiors/16x16/Theme_Sorter_Singles/18_Jail_Singles/Jail_Singles_322.png")</f>
        <v/>
      </c>
    </row>
    <row r="323" ht="34.5" customHeight="1">
      <c r="A323" s="18" t="s">
        <v>3916</v>
      </c>
      <c r="B323" s="16" t="str">
        <f>IMAGE("https://lmztiles.s3.eu-west-1.amazonaws.com/Modern_Interiors_v41.3.4/1_Interiors/16x16/Theme_Sorter_Singles/18_Jail_Singles/Jail_Singles_323.png")</f>
        <v/>
      </c>
    </row>
    <row r="324" ht="34.5" customHeight="1">
      <c r="A324" s="18" t="s">
        <v>3917</v>
      </c>
      <c r="B324" s="16" t="str">
        <f>IMAGE("https://lmztiles.s3.eu-west-1.amazonaws.com/Modern_Interiors_v41.3.4/1_Interiors/16x16/Theme_Sorter_Singles/18_Jail_Singles/Jail_Singles_324.png")</f>
        <v/>
      </c>
    </row>
    <row r="325" ht="34.5" customHeight="1">
      <c r="A325" s="18" t="s">
        <v>3918</v>
      </c>
      <c r="B325" s="16" t="str">
        <f>IMAGE("https://lmztiles.s3.eu-west-1.amazonaws.com/Modern_Interiors_v41.3.4/1_Interiors/16x16/Theme_Sorter_Singles/18_Jail_Singles/Jail_Singles_325.png")</f>
        <v/>
      </c>
    </row>
    <row r="326" ht="34.5" customHeight="1">
      <c r="A326" s="18" t="s">
        <v>3919</v>
      </c>
      <c r="B326" s="16" t="str">
        <f>IMAGE("https://lmztiles.s3.eu-west-1.amazonaws.com/Modern_Interiors_v41.3.4/1_Interiors/16x16/Theme_Sorter_Singles/18_Jail_Singles/Jail_Singles_326.png")</f>
        <v/>
      </c>
    </row>
    <row r="327" ht="34.5" customHeight="1">
      <c r="A327" s="18" t="s">
        <v>3920</v>
      </c>
      <c r="B327" s="16" t="str">
        <f>IMAGE("https://lmztiles.s3.eu-west-1.amazonaws.com/Modern_Interiors_v41.3.4/1_Interiors/16x16/Theme_Sorter_Singles/18_Jail_Singles/Jail_Singles_327.png")</f>
        <v/>
      </c>
    </row>
    <row r="328" ht="34.5" customHeight="1">
      <c r="A328" s="18" t="s">
        <v>3921</v>
      </c>
      <c r="B328" s="16" t="str">
        <f>IMAGE("https://lmztiles.s3.eu-west-1.amazonaws.com/Modern_Interiors_v41.3.4/1_Interiors/16x16/Theme_Sorter_Singles/18_Jail_Singles/Jail_Singles_328.png")</f>
        <v/>
      </c>
    </row>
    <row r="329" ht="34.5" customHeight="1">
      <c r="A329" s="18" t="s">
        <v>3922</v>
      </c>
      <c r="B329" s="16" t="str">
        <f>IMAGE("https://lmztiles.s3.eu-west-1.amazonaws.com/Modern_Interiors_v41.3.4/1_Interiors/16x16/Theme_Sorter_Singles/18_Jail_Singles/Jail_Singles_329.png")</f>
        <v/>
      </c>
    </row>
    <row r="330" ht="34.5" customHeight="1">
      <c r="A330" s="18" t="s">
        <v>3923</v>
      </c>
      <c r="B330" s="16" t="str">
        <f>IMAGE("https://lmztiles.s3.eu-west-1.amazonaws.com/Modern_Interiors_v41.3.4/1_Interiors/16x16/Theme_Sorter_Singles/18_Jail_Singles/Jail_Singles_330.png")</f>
        <v/>
      </c>
    </row>
    <row r="331" ht="34.5" customHeight="1">
      <c r="A331" s="18" t="s">
        <v>3924</v>
      </c>
      <c r="B331" s="16" t="str">
        <f>IMAGE("https://lmztiles.s3.eu-west-1.amazonaws.com/Modern_Interiors_v41.3.4/1_Interiors/16x16/Theme_Sorter_Singles/18_Jail_Singles/Jail_Singles_331.png")</f>
        <v/>
      </c>
    </row>
    <row r="332" ht="34.5" customHeight="1">
      <c r="A332" s="18" t="s">
        <v>3925</v>
      </c>
      <c r="B332" s="16" t="str">
        <f>IMAGE("https://lmztiles.s3.eu-west-1.amazonaws.com/Modern_Interiors_v41.3.4/1_Interiors/16x16/Theme_Sorter_Singles/18_Jail_Singles/Jail_Singles_332.png")</f>
        <v/>
      </c>
    </row>
    <row r="333" ht="34.5" customHeight="1">
      <c r="A333" s="18" t="s">
        <v>3926</v>
      </c>
      <c r="B333" s="16" t="str">
        <f>IMAGE("https://lmztiles.s3.eu-west-1.amazonaws.com/Modern_Interiors_v41.3.4/1_Interiors/16x16/Theme_Sorter_Singles/18_Jail_Singles/Jail_Singles_333.png")</f>
        <v/>
      </c>
    </row>
    <row r="334" ht="34.5" customHeight="1">
      <c r="A334" s="18" t="s">
        <v>3927</v>
      </c>
      <c r="B334" s="16" t="str">
        <f>IMAGE("https://lmztiles.s3.eu-west-1.amazonaws.com/Modern_Interiors_v41.3.4/1_Interiors/16x16/Theme_Sorter_Singles/18_Jail_Singles/Jail_Singles_334.png")</f>
        <v/>
      </c>
    </row>
    <row r="335" ht="34.5" customHeight="1">
      <c r="A335" s="18" t="s">
        <v>3928</v>
      </c>
      <c r="B335" s="16" t="str">
        <f>IMAGE("https://lmztiles.s3.eu-west-1.amazonaws.com/Modern_Interiors_v41.3.4/1_Interiors/16x16/Theme_Sorter_Singles/18_Jail_Singles/Jail_Singles_335.png")</f>
        <v/>
      </c>
    </row>
    <row r="336" ht="34.5" customHeight="1">
      <c r="A336" s="18" t="s">
        <v>3929</v>
      </c>
      <c r="B336" s="16" t="str">
        <f>IMAGE("https://lmztiles.s3.eu-west-1.amazonaws.com/Modern_Interiors_v41.3.4/1_Interiors/16x16/Theme_Sorter_Singles/18_Jail_Singles/Jail_Singles_336.png")</f>
        <v/>
      </c>
    </row>
    <row r="337" ht="34.5" customHeight="1">
      <c r="A337" s="18" t="s">
        <v>3930</v>
      </c>
      <c r="B337" s="16" t="str">
        <f>IMAGE("https://lmztiles.s3.eu-west-1.amazonaws.com/Modern_Interiors_v41.3.4/1_Interiors/16x16/Theme_Sorter_Singles/18_Jail_Singles/Jail_Singles_337.png")</f>
        <v/>
      </c>
    </row>
    <row r="338" ht="34.5" customHeight="1">
      <c r="A338" s="18" t="s">
        <v>3931</v>
      </c>
      <c r="B338" s="16" t="str">
        <f>IMAGE("https://lmztiles.s3.eu-west-1.amazonaws.com/Modern_Interiors_v41.3.4/1_Interiors/16x16/Theme_Sorter_Singles/18_Jail_Singles/Jail_Singles_338.png")</f>
        <v/>
      </c>
    </row>
    <row r="339" ht="34.5" customHeight="1">
      <c r="A339" s="18" t="s">
        <v>3932</v>
      </c>
      <c r="B339" s="16" t="str">
        <f>IMAGE("https://lmztiles.s3.eu-west-1.amazonaws.com/Modern_Interiors_v41.3.4/1_Interiors/16x16/Theme_Sorter_Singles/18_Jail_Singles/Jail_Singles_339.png")</f>
        <v/>
      </c>
    </row>
    <row r="340" ht="34.5" customHeight="1">
      <c r="A340" s="18" t="s">
        <v>3933</v>
      </c>
      <c r="B340" s="16" t="str">
        <f>IMAGE("https://lmztiles.s3.eu-west-1.amazonaws.com/Modern_Interiors_v41.3.4/1_Interiors/16x16/Theme_Sorter_Singles/18_Jail_Singles/Jail_Singles_340.png")</f>
        <v/>
      </c>
    </row>
    <row r="341" ht="34.5" customHeight="1">
      <c r="A341" s="18" t="s">
        <v>3934</v>
      </c>
      <c r="B341" s="16" t="str">
        <f>IMAGE("https://lmztiles.s3.eu-west-1.amazonaws.com/Modern_Interiors_v41.3.4/1_Interiors/16x16/Theme_Sorter_Singles/18_Jail_Singles/Jail_Singles_341.png")</f>
        <v/>
      </c>
    </row>
    <row r="342" ht="34.5" customHeight="1">
      <c r="A342" s="18" t="s">
        <v>3935</v>
      </c>
      <c r="B342" s="16" t="str">
        <f>IMAGE("https://lmztiles.s3.eu-west-1.amazonaws.com/Modern_Interiors_v41.3.4/1_Interiors/16x16/Theme_Sorter_Singles/18_Jail_Singles/Jail_Singles_342.png")</f>
        <v/>
      </c>
    </row>
    <row r="343" ht="34.5" customHeight="1">
      <c r="A343" s="18" t="s">
        <v>3936</v>
      </c>
      <c r="B343" s="16" t="str">
        <f>IMAGE("https://lmztiles.s3.eu-west-1.amazonaws.com/Modern_Interiors_v41.3.4/1_Interiors/16x16/Theme_Sorter_Singles/18_Jail_Singles/Jail_Singles_343.png")</f>
        <v/>
      </c>
    </row>
    <row r="344" ht="34.5" customHeight="1">
      <c r="A344" s="18" t="s">
        <v>3937</v>
      </c>
      <c r="B344" s="16" t="str">
        <f>IMAGE("https://lmztiles.s3.eu-west-1.amazonaws.com/Modern_Interiors_v41.3.4/1_Interiors/16x16/Theme_Sorter_Singles/18_Jail_Singles/Jail_Singles_344.png")</f>
        <v/>
      </c>
    </row>
    <row r="345" ht="34.5" customHeight="1">
      <c r="A345" s="18"/>
    </row>
    <row r="346" ht="34.5" customHeight="1">
      <c r="A346" s="18"/>
    </row>
    <row r="347" ht="34.5" customHeight="1">
      <c r="A347" s="18"/>
    </row>
    <row r="348" ht="34.5" customHeight="1">
      <c r="A348" s="18"/>
    </row>
    <row r="349" ht="34.5" customHeight="1">
      <c r="A349" s="18"/>
    </row>
    <row r="350" ht="34.5" customHeight="1">
      <c r="A350" s="18"/>
    </row>
    <row r="351" ht="34.5" customHeight="1">
      <c r="A351" s="18"/>
    </row>
    <row r="352" ht="34.5" customHeight="1">
      <c r="A352" s="18"/>
    </row>
    <row r="353" ht="34.5" customHeight="1">
      <c r="A353" s="18"/>
    </row>
    <row r="354" ht="34.5" customHeight="1">
      <c r="A354" s="18"/>
    </row>
    <row r="355" ht="34.5" customHeight="1">
      <c r="A355" s="18"/>
    </row>
    <row r="356" ht="34.5" customHeight="1">
      <c r="A356" s="18"/>
    </row>
    <row r="357" ht="34.5" customHeight="1">
      <c r="A357" s="18"/>
    </row>
    <row r="358" ht="34.5" customHeight="1">
      <c r="A358" s="18"/>
    </row>
    <row r="359" ht="34.5" customHeight="1">
      <c r="A359" s="18"/>
    </row>
    <row r="360" ht="34.5" customHeight="1">
      <c r="A360" s="18"/>
    </row>
    <row r="361" ht="34.5" customHeight="1">
      <c r="A361" s="18"/>
    </row>
    <row r="362" ht="34.5" customHeight="1">
      <c r="A362" s="18"/>
    </row>
    <row r="363" ht="34.5" customHeight="1">
      <c r="A363" s="18"/>
    </row>
    <row r="364" ht="34.5" customHeight="1">
      <c r="A364" s="18"/>
    </row>
    <row r="365" ht="34.5" customHeight="1">
      <c r="A365" s="18"/>
    </row>
    <row r="366" ht="34.5" customHeight="1">
      <c r="A366" s="18"/>
    </row>
    <row r="367" ht="34.5" customHeight="1">
      <c r="A367" s="18"/>
    </row>
    <row r="368" ht="34.5" customHeight="1">
      <c r="A368" s="18"/>
    </row>
    <row r="369" ht="34.5" customHeight="1">
      <c r="A369" s="18"/>
    </row>
    <row r="370" ht="34.5" customHeight="1">
      <c r="A370" s="18"/>
    </row>
    <row r="371" ht="34.5" customHeight="1">
      <c r="A371" s="18"/>
    </row>
    <row r="372" ht="34.5" customHeight="1">
      <c r="A372" s="18"/>
    </row>
    <row r="373" ht="34.5" customHeight="1">
      <c r="A373" s="18"/>
    </row>
    <row r="374" ht="34.5" customHeight="1">
      <c r="A374" s="18"/>
    </row>
    <row r="375" ht="34.5" customHeight="1">
      <c r="A375" s="18"/>
    </row>
    <row r="376" ht="34.5" customHeight="1">
      <c r="A376" s="18"/>
    </row>
    <row r="377" ht="34.5" customHeight="1">
      <c r="A377" s="18"/>
    </row>
    <row r="378" ht="34.5" customHeight="1">
      <c r="A378" s="18"/>
    </row>
    <row r="379" ht="34.5" customHeight="1">
      <c r="A379" s="18"/>
    </row>
    <row r="380" ht="34.5" customHeight="1">
      <c r="A380" s="18"/>
    </row>
    <row r="381" ht="34.5" customHeight="1">
      <c r="A381" s="18"/>
    </row>
    <row r="382" ht="34.5" customHeight="1">
      <c r="A382" s="18"/>
    </row>
    <row r="383" ht="34.5" customHeight="1">
      <c r="A383" s="18"/>
    </row>
    <row r="384" ht="34.5" customHeight="1">
      <c r="A384" s="18"/>
    </row>
    <row r="385" ht="34.5" customHeight="1">
      <c r="A385" s="18"/>
    </row>
    <row r="386" ht="34.5" customHeight="1">
      <c r="A386" s="18"/>
    </row>
    <row r="387" ht="34.5" customHeight="1">
      <c r="A387" s="18"/>
    </row>
    <row r="388" ht="34.5" customHeight="1">
      <c r="A388" s="18"/>
    </row>
    <row r="389" ht="34.5" customHeight="1">
      <c r="A389" s="18"/>
    </row>
    <row r="390" ht="34.5" customHeight="1">
      <c r="A390" s="18"/>
    </row>
    <row r="391" ht="34.5" customHeight="1">
      <c r="A391" s="18"/>
    </row>
    <row r="392" ht="34.5" customHeight="1">
      <c r="A392" s="18"/>
    </row>
    <row r="393" ht="34.5" customHeight="1">
      <c r="A393" s="18"/>
    </row>
    <row r="394" ht="34.5" customHeight="1">
      <c r="A394" s="18"/>
    </row>
    <row r="395" ht="34.5" customHeight="1">
      <c r="A395" s="18"/>
    </row>
    <row r="396" ht="34.5" customHeight="1">
      <c r="A396" s="18"/>
    </row>
    <row r="397" ht="34.5" customHeight="1">
      <c r="A397" s="18"/>
    </row>
    <row r="398" ht="34.5" customHeight="1">
      <c r="A398" s="18"/>
    </row>
    <row r="399" ht="34.5" customHeight="1">
      <c r="A399" s="18"/>
    </row>
    <row r="400" ht="34.5" customHeight="1">
      <c r="A400" s="18"/>
    </row>
    <row r="401" ht="34.5" customHeight="1">
      <c r="A401" s="18"/>
    </row>
    <row r="402" ht="34.5" customHeight="1">
      <c r="A402" s="18"/>
    </row>
    <row r="403" ht="34.5" customHeight="1">
      <c r="A403" s="18"/>
    </row>
    <row r="404" ht="34.5" customHeight="1">
      <c r="A404" s="18"/>
    </row>
    <row r="405" ht="34.5" customHeight="1">
      <c r="A405" s="18"/>
    </row>
    <row r="406" ht="34.5" customHeight="1">
      <c r="A406" s="18"/>
    </row>
    <row r="407" ht="34.5" customHeight="1">
      <c r="A407" s="18"/>
    </row>
    <row r="408" ht="34.5" customHeight="1">
      <c r="A408" s="18"/>
    </row>
    <row r="409" ht="34.5" customHeight="1">
      <c r="A409" s="18"/>
    </row>
    <row r="410" ht="34.5" customHeight="1">
      <c r="A410" s="18"/>
    </row>
    <row r="411" ht="34.5" customHeight="1">
      <c r="A411" s="18"/>
    </row>
    <row r="412" ht="34.5" customHeight="1">
      <c r="A412" s="18"/>
    </row>
    <row r="413" ht="34.5" customHeight="1">
      <c r="A413" s="18"/>
    </row>
    <row r="414" ht="34.5" customHeight="1">
      <c r="A414" s="18"/>
    </row>
    <row r="415" ht="34.5" customHeight="1">
      <c r="A415" s="18"/>
    </row>
    <row r="416" ht="34.5" customHeight="1">
      <c r="A416" s="18"/>
    </row>
    <row r="417" ht="34.5" customHeight="1">
      <c r="A417" s="18"/>
    </row>
    <row r="418" ht="34.5" customHeight="1">
      <c r="A418" s="18"/>
    </row>
    <row r="419" ht="34.5" customHeight="1">
      <c r="A419" s="18"/>
    </row>
    <row r="420" ht="34.5" customHeight="1">
      <c r="A420" s="18"/>
    </row>
    <row r="421" ht="34.5" customHeight="1">
      <c r="A421" s="18"/>
    </row>
    <row r="422" ht="34.5" customHeight="1">
      <c r="A422" s="18"/>
    </row>
    <row r="423" ht="34.5" customHeight="1">
      <c r="A423" s="18"/>
    </row>
    <row r="424" ht="34.5" customHeight="1">
      <c r="A424" s="18"/>
    </row>
    <row r="425" ht="34.5" customHeight="1">
      <c r="A425" s="18"/>
    </row>
    <row r="426" ht="34.5" customHeight="1">
      <c r="A426" s="18"/>
    </row>
    <row r="427" ht="34.5" customHeight="1">
      <c r="A427" s="18"/>
    </row>
    <row r="428" ht="34.5" customHeight="1">
      <c r="A428" s="18"/>
    </row>
    <row r="429" ht="34.5" customHeight="1">
      <c r="A429" s="18"/>
    </row>
    <row r="430" ht="34.5" customHeight="1">
      <c r="A430" s="18"/>
    </row>
    <row r="431" ht="34.5" customHeight="1">
      <c r="A431" s="18"/>
    </row>
    <row r="432" ht="34.5" customHeight="1">
      <c r="A432" s="18"/>
    </row>
    <row r="433" ht="34.5" customHeight="1">
      <c r="A433" s="18"/>
    </row>
    <row r="434" ht="34.5" customHeight="1">
      <c r="A434" s="18"/>
    </row>
    <row r="435" ht="34.5" customHeight="1">
      <c r="A435" s="18"/>
    </row>
    <row r="436" ht="34.5" customHeight="1">
      <c r="A436" s="18"/>
    </row>
    <row r="437" ht="34.5" customHeight="1">
      <c r="A437" s="18"/>
    </row>
    <row r="438" ht="34.5" customHeight="1">
      <c r="A438" s="18"/>
    </row>
    <row r="439" ht="34.5" customHeight="1">
      <c r="A439" s="18"/>
    </row>
    <row r="440" ht="34.5" customHeight="1">
      <c r="A440" s="18"/>
    </row>
    <row r="441" ht="34.5" customHeight="1">
      <c r="A441" s="18"/>
    </row>
    <row r="442" ht="34.5" customHeight="1">
      <c r="A442" s="18"/>
    </row>
    <row r="443" ht="34.5" customHeight="1">
      <c r="A443" s="18"/>
    </row>
    <row r="444" ht="34.5" customHeight="1">
      <c r="A444" s="18"/>
    </row>
    <row r="445" ht="34.5" customHeight="1">
      <c r="A445" s="18"/>
    </row>
    <row r="446" ht="34.5" customHeight="1">
      <c r="A446" s="18"/>
    </row>
    <row r="447" ht="34.5" customHeight="1">
      <c r="A447" s="18"/>
    </row>
    <row r="448" ht="34.5" customHeight="1">
      <c r="A448" s="18"/>
    </row>
    <row r="449" ht="34.5" customHeight="1">
      <c r="A449" s="18"/>
    </row>
    <row r="450" ht="34.5" customHeight="1">
      <c r="A450" s="18"/>
    </row>
    <row r="451" ht="34.5" customHeight="1">
      <c r="A451" s="18"/>
    </row>
    <row r="452" ht="34.5" customHeight="1">
      <c r="A452" s="18"/>
    </row>
    <row r="453" ht="34.5" customHeight="1">
      <c r="A453" s="18"/>
    </row>
    <row r="454" ht="34.5" customHeight="1">
      <c r="A454" s="18"/>
    </row>
    <row r="455" ht="34.5" customHeight="1">
      <c r="A455" s="18"/>
    </row>
    <row r="456" ht="34.5" customHeight="1">
      <c r="A456" s="18"/>
    </row>
    <row r="457" ht="34.5" customHeight="1">
      <c r="A457" s="18"/>
    </row>
    <row r="458" ht="34.5" customHeight="1">
      <c r="A458" s="18"/>
    </row>
    <row r="459" ht="34.5" customHeight="1">
      <c r="A459" s="18"/>
    </row>
    <row r="460" ht="34.5" customHeight="1">
      <c r="A460" s="18"/>
    </row>
    <row r="461" ht="34.5" customHeight="1">
      <c r="A461" s="18"/>
    </row>
    <row r="462" ht="34.5" customHeight="1">
      <c r="A462" s="18"/>
    </row>
    <row r="463" ht="34.5" customHeight="1">
      <c r="A463" s="18"/>
    </row>
    <row r="464" ht="34.5" customHeight="1">
      <c r="A464" s="18"/>
    </row>
    <row r="465" ht="34.5" customHeight="1">
      <c r="A465" s="18"/>
    </row>
    <row r="466" ht="34.5" customHeight="1">
      <c r="A466" s="18"/>
    </row>
    <row r="467" ht="34.5" customHeight="1">
      <c r="A467" s="18"/>
    </row>
    <row r="468" ht="34.5" customHeight="1">
      <c r="A468" s="18"/>
    </row>
    <row r="469" ht="34.5" customHeight="1">
      <c r="A469" s="18"/>
    </row>
    <row r="470" ht="34.5" customHeight="1">
      <c r="A470" s="18"/>
    </row>
    <row r="471" ht="34.5" customHeight="1">
      <c r="A471" s="18"/>
    </row>
    <row r="472" ht="34.5" customHeight="1">
      <c r="A472" s="18"/>
    </row>
    <row r="473" ht="34.5" customHeight="1">
      <c r="A473" s="18"/>
    </row>
    <row r="474" ht="34.5" customHeight="1">
      <c r="A474" s="18"/>
    </row>
    <row r="475" ht="34.5" customHeight="1">
      <c r="A475" s="18"/>
    </row>
    <row r="476" ht="34.5" customHeight="1">
      <c r="A476" s="18"/>
    </row>
    <row r="477" ht="34.5" customHeight="1">
      <c r="A477" s="18"/>
    </row>
    <row r="478" ht="34.5" customHeight="1">
      <c r="A478" s="18"/>
    </row>
    <row r="479" ht="34.5" customHeight="1">
      <c r="A479" s="18"/>
    </row>
    <row r="480" ht="34.5" customHeight="1">
      <c r="A480" s="18"/>
    </row>
    <row r="481" ht="34.5" customHeight="1">
      <c r="A481" s="18"/>
    </row>
    <row r="482" ht="34.5" customHeight="1">
      <c r="A482" s="18"/>
    </row>
    <row r="483" ht="34.5" customHeight="1">
      <c r="A483" s="18"/>
    </row>
    <row r="484" ht="34.5" customHeight="1">
      <c r="A484" s="18"/>
    </row>
    <row r="485" ht="34.5" customHeight="1">
      <c r="A485" s="18"/>
    </row>
    <row r="486" ht="34.5" customHeight="1">
      <c r="A486" s="18"/>
    </row>
    <row r="487" ht="34.5" customHeight="1">
      <c r="A487" s="18"/>
    </row>
    <row r="488" ht="34.5" customHeight="1">
      <c r="A488" s="18"/>
    </row>
    <row r="489" ht="34.5" customHeight="1">
      <c r="A489" s="18"/>
    </row>
    <row r="490" ht="34.5" customHeight="1">
      <c r="A490" s="18"/>
    </row>
    <row r="491" ht="34.5" customHeight="1">
      <c r="A491" s="18"/>
    </row>
    <row r="492" ht="34.5" customHeight="1">
      <c r="A492" s="18"/>
    </row>
    <row r="493" ht="34.5" customHeight="1">
      <c r="A493" s="18"/>
    </row>
    <row r="494" ht="34.5" customHeight="1">
      <c r="A494" s="18"/>
    </row>
    <row r="495" ht="34.5" customHeight="1">
      <c r="A495" s="18"/>
    </row>
    <row r="496" ht="34.5" customHeight="1">
      <c r="A496" s="18"/>
    </row>
    <row r="497" ht="34.5" customHeight="1">
      <c r="A497" s="18"/>
    </row>
    <row r="498" ht="34.5" customHeight="1">
      <c r="A498" s="18"/>
    </row>
    <row r="499" ht="34.5" customHeight="1">
      <c r="A499" s="18"/>
    </row>
    <row r="500" ht="34.5" customHeight="1">
      <c r="A500" s="18"/>
    </row>
    <row r="501" ht="34.5" customHeight="1">
      <c r="A501" s="18"/>
    </row>
    <row r="502" ht="34.5" customHeight="1">
      <c r="A502" s="18"/>
    </row>
    <row r="503" ht="34.5" customHeight="1">
      <c r="A503" s="18"/>
    </row>
    <row r="504" ht="34.5" customHeight="1">
      <c r="A504" s="18"/>
    </row>
    <row r="505" ht="34.5" customHeight="1">
      <c r="A505" s="18"/>
    </row>
    <row r="506" ht="34.5" customHeight="1">
      <c r="A506" s="18"/>
    </row>
    <row r="507" ht="34.5" customHeight="1">
      <c r="A507" s="18"/>
    </row>
    <row r="508" ht="34.5" customHeight="1">
      <c r="A508" s="18"/>
    </row>
    <row r="509" ht="34.5" customHeight="1">
      <c r="A509" s="18"/>
    </row>
    <row r="510" ht="34.5" customHeight="1">
      <c r="A510" s="18"/>
    </row>
    <row r="511" ht="34.5" customHeight="1">
      <c r="A511" s="18"/>
    </row>
    <row r="512" ht="34.5" customHeight="1">
      <c r="A512" s="18"/>
    </row>
    <row r="513" ht="34.5" customHeight="1">
      <c r="A513" s="18"/>
    </row>
    <row r="514" ht="34.5" customHeight="1">
      <c r="A514" s="18"/>
    </row>
    <row r="515" ht="34.5" customHeight="1">
      <c r="A515" s="18"/>
    </row>
    <row r="516" ht="34.5" customHeight="1">
      <c r="A516" s="18"/>
    </row>
    <row r="517" ht="34.5" customHeight="1">
      <c r="A517" s="18"/>
    </row>
    <row r="518" ht="34.5" customHeight="1">
      <c r="A518" s="18"/>
    </row>
    <row r="519" ht="34.5" customHeight="1">
      <c r="A519" s="18"/>
    </row>
    <row r="520" ht="34.5" customHeight="1">
      <c r="A520" s="18"/>
    </row>
    <row r="521" ht="34.5" customHeight="1">
      <c r="A521" s="18"/>
    </row>
    <row r="522" ht="34.5" customHeight="1">
      <c r="A522" s="18"/>
    </row>
    <row r="523" ht="34.5" customHeight="1">
      <c r="A523" s="18"/>
    </row>
    <row r="524" ht="34.5" customHeight="1">
      <c r="A524" s="18"/>
    </row>
    <row r="525" ht="34.5" customHeight="1">
      <c r="A525" s="18"/>
    </row>
    <row r="526" ht="34.5" customHeight="1">
      <c r="A526" s="18"/>
    </row>
    <row r="527" ht="34.5" customHeight="1">
      <c r="A527" s="18"/>
    </row>
    <row r="528" ht="34.5" customHeight="1">
      <c r="A528" s="18"/>
    </row>
    <row r="529" ht="34.5" customHeight="1">
      <c r="A529" s="18"/>
    </row>
    <row r="530" ht="34.5" customHeight="1">
      <c r="A530" s="18"/>
    </row>
    <row r="531" ht="34.5" customHeight="1">
      <c r="A531" s="18"/>
    </row>
    <row r="532" ht="34.5" customHeight="1">
      <c r="A532" s="18"/>
    </row>
    <row r="533" ht="34.5" customHeight="1">
      <c r="A533" s="18"/>
    </row>
    <row r="534" ht="34.5" customHeight="1">
      <c r="A534" s="18"/>
    </row>
    <row r="535" ht="34.5" customHeight="1">
      <c r="A535" s="18"/>
    </row>
    <row r="536" ht="34.5" customHeight="1">
      <c r="A536" s="18"/>
    </row>
    <row r="537" ht="34.5" customHeight="1">
      <c r="A537" s="18"/>
    </row>
    <row r="538" ht="34.5" customHeight="1">
      <c r="A538" s="18"/>
    </row>
    <row r="539" ht="34.5" customHeight="1">
      <c r="A539" s="18"/>
    </row>
    <row r="540" ht="34.5" customHeight="1">
      <c r="A540" s="18"/>
    </row>
    <row r="541" ht="34.5" customHeight="1">
      <c r="A541" s="18"/>
    </row>
    <row r="542" ht="34.5" customHeight="1">
      <c r="A542" s="18"/>
    </row>
    <row r="543" ht="34.5" customHeight="1">
      <c r="A543" s="18"/>
    </row>
    <row r="544" ht="34.5" customHeight="1">
      <c r="A544" s="18"/>
    </row>
    <row r="545" ht="34.5" customHeight="1">
      <c r="A545" s="18"/>
    </row>
    <row r="546" ht="34.5" customHeight="1">
      <c r="A546" s="18"/>
    </row>
    <row r="547" ht="34.5" customHeight="1">
      <c r="A547" s="18"/>
    </row>
    <row r="548" ht="34.5" customHeight="1">
      <c r="A548" s="18"/>
    </row>
    <row r="549" ht="34.5" customHeight="1">
      <c r="A549" s="18"/>
    </row>
    <row r="550" ht="34.5" customHeight="1">
      <c r="A550" s="18"/>
    </row>
    <row r="551" ht="34.5" customHeight="1">
      <c r="A551" s="18"/>
    </row>
    <row r="552" ht="34.5" customHeight="1">
      <c r="A552" s="18"/>
    </row>
    <row r="553" ht="34.5" customHeight="1">
      <c r="A553" s="18"/>
    </row>
    <row r="554" ht="34.5" customHeight="1">
      <c r="A554" s="18"/>
    </row>
    <row r="555" ht="34.5" customHeight="1">
      <c r="A555" s="18"/>
    </row>
    <row r="556" ht="34.5" customHeight="1">
      <c r="A556" s="18"/>
    </row>
    <row r="557" ht="34.5" customHeight="1">
      <c r="A557" s="18"/>
    </row>
    <row r="558" ht="34.5" customHeight="1">
      <c r="A558" s="18"/>
    </row>
    <row r="559" ht="34.5" customHeight="1">
      <c r="A559" s="18"/>
    </row>
    <row r="560" ht="34.5" customHeight="1">
      <c r="A560" s="18"/>
    </row>
    <row r="561" ht="34.5" customHeight="1">
      <c r="A561" s="18"/>
    </row>
    <row r="562" ht="34.5" customHeight="1">
      <c r="A562" s="18"/>
    </row>
    <row r="563" ht="34.5" customHeight="1">
      <c r="A563" s="18"/>
    </row>
    <row r="564" ht="34.5" customHeight="1">
      <c r="A564" s="18"/>
    </row>
    <row r="565" ht="34.5" customHeight="1">
      <c r="A565" s="18"/>
    </row>
    <row r="566" ht="34.5" customHeight="1">
      <c r="A566" s="18"/>
    </row>
    <row r="567" ht="34.5" customHeight="1">
      <c r="A567" s="18"/>
    </row>
    <row r="568" ht="34.5" customHeight="1">
      <c r="A568" s="18"/>
    </row>
    <row r="569" ht="34.5" customHeight="1">
      <c r="A569" s="18"/>
    </row>
    <row r="570" ht="34.5" customHeight="1">
      <c r="A570" s="18"/>
    </row>
    <row r="571" ht="34.5" customHeight="1">
      <c r="A571" s="18"/>
    </row>
    <row r="572" ht="34.5" customHeight="1">
      <c r="A572" s="18"/>
    </row>
    <row r="573" ht="34.5" customHeight="1">
      <c r="A573" s="18"/>
    </row>
    <row r="574" ht="34.5" customHeight="1">
      <c r="A574" s="18"/>
    </row>
    <row r="575" ht="34.5" customHeight="1">
      <c r="A575" s="18"/>
    </row>
    <row r="576" ht="34.5" customHeight="1">
      <c r="A576" s="18"/>
    </row>
    <row r="577" ht="34.5" customHeight="1">
      <c r="A577" s="18"/>
    </row>
    <row r="578" ht="34.5" customHeight="1">
      <c r="A578" s="18"/>
    </row>
    <row r="579" ht="34.5" customHeight="1">
      <c r="A579" s="18"/>
    </row>
    <row r="580" ht="34.5" customHeight="1">
      <c r="A580" s="18"/>
    </row>
    <row r="581" ht="34.5" customHeight="1">
      <c r="A581" s="18"/>
    </row>
    <row r="582" ht="34.5" customHeight="1">
      <c r="A582" s="18"/>
    </row>
    <row r="583" ht="34.5" customHeight="1">
      <c r="A583" s="18"/>
    </row>
    <row r="584" ht="34.5" customHeight="1">
      <c r="A584" s="18"/>
    </row>
    <row r="585" ht="34.5" customHeight="1">
      <c r="A585" s="18"/>
    </row>
    <row r="586" ht="34.5" customHeight="1">
      <c r="A586" s="18"/>
    </row>
    <row r="587" ht="34.5" customHeight="1">
      <c r="A587" s="18"/>
    </row>
    <row r="588" ht="34.5" customHeight="1">
      <c r="A588" s="18"/>
    </row>
    <row r="589" ht="34.5" customHeight="1">
      <c r="A589" s="18"/>
    </row>
    <row r="590" ht="34.5" customHeight="1">
      <c r="A590" s="18"/>
    </row>
    <row r="591" ht="34.5" customHeight="1">
      <c r="A591" s="18"/>
    </row>
    <row r="592" ht="34.5" customHeight="1">
      <c r="A592" s="18"/>
    </row>
    <row r="593" ht="34.5" customHeight="1">
      <c r="A593" s="18"/>
    </row>
    <row r="594" ht="34.5" customHeight="1">
      <c r="A594" s="18"/>
    </row>
    <row r="595" ht="34.5" customHeight="1">
      <c r="A595" s="18"/>
    </row>
    <row r="596" ht="34.5" customHeight="1">
      <c r="A596" s="18"/>
    </row>
    <row r="597" ht="34.5" customHeight="1">
      <c r="A597" s="18"/>
    </row>
    <row r="598" ht="34.5" customHeight="1">
      <c r="A598" s="18"/>
    </row>
    <row r="599" ht="34.5" customHeight="1">
      <c r="A599" s="18"/>
    </row>
    <row r="600" ht="34.5" customHeight="1">
      <c r="A600" s="18"/>
    </row>
    <row r="601" ht="34.5" customHeight="1">
      <c r="A601" s="18"/>
    </row>
    <row r="602" ht="34.5" customHeight="1">
      <c r="A602" s="18"/>
    </row>
    <row r="603" ht="34.5" customHeight="1">
      <c r="A603" s="18"/>
    </row>
    <row r="604" ht="34.5" customHeight="1">
      <c r="A604" s="18"/>
    </row>
    <row r="605" ht="34.5" customHeight="1">
      <c r="A605" s="18"/>
    </row>
    <row r="606" ht="34.5" customHeight="1">
      <c r="A606" s="18"/>
    </row>
    <row r="607" ht="34.5" customHeight="1">
      <c r="A607" s="18"/>
    </row>
    <row r="608" ht="34.5" customHeight="1">
      <c r="A608" s="18"/>
    </row>
    <row r="609" ht="34.5" customHeight="1">
      <c r="A609" s="18"/>
    </row>
    <row r="610" ht="34.5" customHeight="1">
      <c r="A610" s="18"/>
    </row>
    <row r="611" ht="34.5" customHeight="1">
      <c r="A611" s="18"/>
    </row>
    <row r="612" ht="34.5" customHeight="1">
      <c r="A612" s="18"/>
    </row>
    <row r="613" ht="34.5" customHeight="1">
      <c r="A613" s="18"/>
    </row>
    <row r="614" ht="34.5" customHeight="1">
      <c r="A614" s="18"/>
    </row>
    <row r="615" ht="34.5" customHeight="1">
      <c r="A615" s="18"/>
    </row>
    <row r="616" ht="34.5" customHeight="1">
      <c r="A616" s="18"/>
    </row>
    <row r="617" ht="34.5" customHeight="1">
      <c r="A617" s="18"/>
    </row>
    <row r="618" ht="34.5" customHeight="1">
      <c r="A618" s="18"/>
    </row>
    <row r="619" ht="34.5" customHeight="1">
      <c r="A619" s="18"/>
    </row>
    <row r="620" ht="34.5" customHeight="1">
      <c r="A620" s="18"/>
    </row>
    <row r="621" ht="34.5" customHeight="1">
      <c r="A621" s="18"/>
    </row>
    <row r="622" ht="34.5" customHeight="1">
      <c r="A622" s="18"/>
    </row>
    <row r="623" ht="34.5" customHeight="1">
      <c r="A623" s="18"/>
    </row>
    <row r="624" ht="34.5" customHeight="1">
      <c r="A624" s="18"/>
    </row>
    <row r="625" ht="34.5" customHeight="1">
      <c r="A625" s="18"/>
    </row>
    <row r="626" ht="34.5" customHeight="1">
      <c r="A626" s="18"/>
    </row>
    <row r="627" ht="34.5" customHeight="1">
      <c r="A627" s="18"/>
    </row>
    <row r="628" ht="34.5" customHeight="1">
      <c r="A628" s="18"/>
    </row>
    <row r="629" ht="34.5" customHeight="1">
      <c r="A629" s="18"/>
    </row>
    <row r="630" ht="34.5" customHeight="1">
      <c r="A630" s="18"/>
    </row>
    <row r="631" ht="34.5" customHeight="1">
      <c r="A631" s="18"/>
    </row>
    <row r="632" ht="34.5" customHeight="1">
      <c r="A632" s="18"/>
    </row>
    <row r="633" ht="34.5" customHeight="1">
      <c r="A633" s="18"/>
    </row>
    <row r="634" ht="34.5" customHeight="1">
      <c r="A634" s="18"/>
    </row>
    <row r="635" ht="34.5" customHeight="1">
      <c r="A635" s="18"/>
    </row>
    <row r="636" ht="34.5" customHeight="1">
      <c r="A636" s="18"/>
    </row>
    <row r="637" ht="34.5" customHeight="1">
      <c r="A637" s="18"/>
    </row>
    <row r="638" ht="34.5" customHeight="1">
      <c r="A638" s="18"/>
    </row>
    <row r="639" ht="34.5" customHeight="1">
      <c r="A639" s="18"/>
    </row>
    <row r="640" ht="34.5" customHeight="1">
      <c r="A640" s="18"/>
    </row>
    <row r="641" ht="34.5" customHeight="1">
      <c r="A641" s="18"/>
    </row>
    <row r="642" ht="34.5" customHeight="1">
      <c r="A642" s="18"/>
    </row>
    <row r="643" ht="34.5" customHeight="1">
      <c r="A643" s="18"/>
    </row>
    <row r="644" ht="34.5" customHeight="1">
      <c r="A644" s="18"/>
    </row>
    <row r="645" ht="34.5" customHeight="1">
      <c r="A645" s="18"/>
    </row>
    <row r="646" ht="34.5" customHeight="1">
      <c r="A646" s="18"/>
    </row>
    <row r="647" ht="34.5" customHeight="1">
      <c r="A647" s="18"/>
    </row>
    <row r="648" ht="34.5" customHeight="1">
      <c r="A648" s="18"/>
    </row>
    <row r="649" ht="34.5" customHeight="1">
      <c r="A649" s="18"/>
    </row>
    <row r="650" ht="34.5" customHeight="1">
      <c r="A650" s="18"/>
    </row>
    <row r="651" ht="34.5" customHeight="1">
      <c r="A651" s="18"/>
    </row>
    <row r="652" ht="34.5" customHeight="1">
      <c r="A652" s="18"/>
    </row>
    <row r="653" ht="34.5" customHeight="1">
      <c r="A653" s="18"/>
    </row>
    <row r="654" ht="34.5" customHeight="1">
      <c r="A654" s="18"/>
    </row>
    <row r="655" ht="34.5" customHeight="1">
      <c r="A655" s="18"/>
    </row>
    <row r="656" ht="34.5" customHeight="1">
      <c r="A656" s="18"/>
    </row>
    <row r="657" ht="34.5" customHeight="1">
      <c r="A657" s="18"/>
    </row>
    <row r="658" ht="34.5" customHeight="1">
      <c r="A658" s="18"/>
    </row>
    <row r="659" ht="34.5" customHeight="1">
      <c r="A659" s="18"/>
    </row>
    <row r="660" ht="34.5" customHeight="1">
      <c r="A660" s="18"/>
    </row>
    <row r="661" ht="34.5" customHeight="1">
      <c r="A661" s="18"/>
    </row>
    <row r="662" ht="34.5" customHeight="1">
      <c r="A662" s="18"/>
    </row>
    <row r="663" ht="34.5" customHeight="1">
      <c r="A663" s="18"/>
    </row>
    <row r="664" ht="34.5" customHeight="1">
      <c r="A664" s="18"/>
    </row>
    <row r="665" ht="34.5" customHeight="1">
      <c r="A665" s="18"/>
    </row>
    <row r="666" ht="34.5" customHeight="1">
      <c r="A666" s="18"/>
    </row>
    <row r="667" ht="34.5" customHeight="1">
      <c r="A667" s="18"/>
    </row>
    <row r="668" ht="34.5" customHeight="1">
      <c r="A668" s="18"/>
    </row>
    <row r="669" ht="34.5" customHeight="1">
      <c r="A669" s="18"/>
    </row>
    <row r="670" ht="34.5" customHeight="1">
      <c r="A670" s="18"/>
    </row>
    <row r="671" ht="34.5" customHeight="1">
      <c r="A671" s="18"/>
    </row>
    <row r="672" ht="34.5" customHeight="1">
      <c r="A672" s="18"/>
    </row>
    <row r="673" ht="34.5" customHeight="1">
      <c r="A673" s="18"/>
    </row>
    <row r="674" ht="34.5" customHeight="1">
      <c r="A674" s="18"/>
    </row>
    <row r="675" ht="34.5" customHeight="1">
      <c r="A675" s="18"/>
    </row>
    <row r="676" ht="34.5" customHeight="1">
      <c r="A676" s="18"/>
    </row>
    <row r="677" ht="34.5" customHeight="1">
      <c r="A677" s="18"/>
    </row>
    <row r="678" ht="34.5" customHeight="1">
      <c r="A678" s="18"/>
    </row>
    <row r="679" ht="34.5" customHeight="1">
      <c r="A679" s="18"/>
    </row>
    <row r="680" ht="34.5" customHeight="1">
      <c r="A680" s="18"/>
    </row>
    <row r="681" ht="34.5" customHeight="1">
      <c r="A681" s="18"/>
    </row>
    <row r="682" ht="34.5" customHeight="1">
      <c r="A682" s="18"/>
    </row>
    <row r="683" ht="34.5" customHeight="1">
      <c r="A683" s="18"/>
    </row>
    <row r="684" ht="34.5" customHeight="1">
      <c r="A684" s="18"/>
    </row>
    <row r="685" ht="34.5" customHeight="1">
      <c r="A685" s="18"/>
    </row>
    <row r="686" ht="34.5" customHeight="1">
      <c r="A686" s="18"/>
    </row>
    <row r="687" ht="34.5" customHeight="1">
      <c r="A687" s="18"/>
    </row>
    <row r="688" ht="34.5" customHeight="1">
      <c r="A688" s="18"/>
    </row>
    <row r="689" ht="34.5" customHeight="1">
      <c r="A689" s="18"/>
    </row>
    <row r="690" ht="34.5" customHeight="1">
      <c r="A690" s="18"/>
    </row>
    <row r="691" ht="34.5" customHeight="1">
      <c r="A691" s="18"/>
    </row>
    <row r="692" ht="34.5" customHeight="1">
      <c r="A692" s="18"/>
    </row>
    <row r="693" ht="34.5" customHeight="1">
      <c r="A693" s="18"/>
    </row>
    <row r="694" ht="34.5" customHeight="1">
      <c r="A694" s="18"/>
    </row>
    <row r="695" ht="34.5" customHeight="1">
      <c r="A695" s="18"/>
    </row>
    <row r="696" ht="34.5" customHeight="1">
      <c r="A696" s="18"/>
    </row>
    <row r="697" ht="34.5" customHeight="1">
      <c r="A697" s="18"/>
    </row>
    <row r="698" ht="34.5" customHeight="1">
      <c r="A698" s="18"/>
    </row>
    <row r="699" ht="34.5" customHeight="1">
      <c r="A699" s="18"/>
    </row>
    <row r="700" ht="34.5" customHeight="1">
      <c r="A700" s="18"/>
    </row>
    <row r="701" ht="34.5" customHeight="1">
      <c r="A701" s="18"/>
    </row>
    <row r="702" ht="34.5" customHeight="1">
      <c r="A702" s="18"/>
    </row>
    <row r="703" ht="34.5" customHeight="1">
      <c r="A703" s="18"/>
    </row>
    <row r="704" ht="34.5" customHeight="1">
      <c r="A704" s="18"/>
    </row>
    <row r="705" ht="34.5" customHeight="1">
      <c r="A705" s="18"/>
    </row>
    <row r="706" ht="34.5" customHeight="1">
      <c r="A706" s="18"/>
    </row>
    <row r="707" ht="34.5" customHeight="1">
      <c r="A707" s="18"/>
    </row>
    <row r="708" ht="34.5" customHeight="1">
      <c r="A708" s="18"/>
    </row>
    <row r="709" ht="34.5" customHeight="1">
      <c r="A709" s="18"/>
    </row>
    <row r="710" ht="34.5" customHeight="1">
      <c r="A710" s="18"/>
    </row>
    <row r="711" ht="34.5" customHeight="1">
      <c r="A711" s="18"/>
    </row>
    <row r="712" ht="34.5" customHeight="1">
      <c r="A712" s="18"/>
    </row>
    <row r="713" ht="34.5" customHeight="1">
      <c r="A713" s="18"/>
    </row>
    <row r="714" ht="34.5" customHeight="1">
      <c r="A714" s="18"/>
    </row>
    <row r="715" ht="34.5" customHeight="1">
      <c r="A715" s="18"/>
    </row>
    <row r="716" ht="34.5" customHeight="1">
      <c r="A716" s="18"/>
    </row>
    <row r="717" ht="34.5" customHeight="1">
      <c r="A717" s="18"/>
    </row>
    <row r="718" ht="34.5" customHeight="1">
      <c r="A718" s="18"/>
    </row>
    <row r="719" ht="34.5" customHeight="1">
      <c r="A719" s="18"/>
    </row>
    <row r="720" ht="34.5" customHeight="1">
      <c r="A720" s="18"/>
    </row>
    <row r="721" ht="34.5" customHeight="1">
      <c r="A721" s="18"/>
    </row>
    <row r="722" ht="34.5" customHeight="1">
      <c r="A722" s="18"/>
    </row>
    <row r="723" ht="34.5" customHeight="1">
      <c r="A723" s="18"/>
    </row>
    <row r="724" ht="34.5" customHeight="1">
      <c r="A724" s="18"/>
    </row>
    <row r="725" ht="34.5" customHeight="1">
      <c r="A725" s="18"/>
    </row>
    <row r="726" ht="34.5" customHeight="1">
      <c r="A726" s="18"/>
    </row>
    <row r="727" ht="34.5" customHeight="1">
      <c r="A727" s="18"/>
    </row>
    <row r="728" ht="34.5" customHeight="1">
      <c r="A728" s="18"/>
    </row>
    <row r="729" ht="34.5" customHeight="1">
      <c r="A729" s="18"/>
    </row>
    <row r="730" ht="34.5" customHeight="1">
      <c r="A730" s="18"/>
    </row>
    <row r="731" ht="34.5" customHeight="1">
      <c r="A731" s="18"/>
    </row>
    <row r="732" ht="34.5" customHeight="1">
      <c r="A732" s="18"/>
    </row>
    <row r="733" ht="34.5" customHeight="1">
      <c r="A733" s="18"/>
    </row>
    <row r="734" ht="34.5" customHeight="1">
      <c r="A734" s="18"/>
    </row>
    <row r="735" ht="34.5" customHeight="1">
      <c r="A735" s="18"/>
    </row>
    <row r="736" ht="34.5" customHeight="1">
      <c r="A736" s="18"/>
    </row>
    <row r="737" ht="34.5" customHeight="1">
      <c r="A737" s="18"/>
    </row>
    <row r="738" ht="34.5" customHeight="1">
      <c r="A738" s="18"/>
    </row>
    <row r="739" ht="34.5" customHeight="1">
      <c r="A739" s="18"/>
    </row>
    <row r="740" ht="34.5" customHeight="1">
      <c r="A740" s="18"/>
    </row>
    <row r="741" ht="34.5" customHeight="1">
      <c r="A741" s="18"/>
    </row>
    <row r="742" ht="34.5" customHeight="1">
      <c r="A742" s="18"/>
    </row>
    <row r="743" ht="34.5" customHeight="1">
      <c r="A743" s="18"/>
    </row>
    <row r="744" ht="34.5" customHeight="1">
      <c r="A744" s="18"/>
    </row>
    <row r="745" ht="34.5" customHeight="1">
      <c r="A745" s="18"/>
    </row>
    <row r="746" ht="34.5" customHeight="1">
      <c r="A746" s="18"/>
    </row>
    <row r="747" ht="34.5" customHeight="1">
      <c r="A747" s="18"/>
    </row>
    <row r="748" ht="34.5" customHeight="1">
      <c r="A748" s="18"/>
    </row>
    <row r="749" ht="34.5" customHeight="1">
      <c r="A749" s="18"/>
    </row>
    <row r="750" ht="34.5" customHeight="1">
      <c r="A750" s="18"/>
    </row>
    <row r="751" ht="34.5" customHeight="1">
      <c r="A751" s="18"/>
    </row>
    <row r="752" ht="34.5" customHeight="1">
      <c r="A752" s="18"/>
    </row>
    <row r="753" ht="34.5" customHeight="1">
      <c r="A753" s="18"/>
    </row>
    <row r="754" ht="34.5" customHeight="1">
      <c r="A754" s="18"/>
    </row>
    <row r="755" ht="34.5" customHeight="1">
      <c r="A755" s="18"/>
    </row>
    <row r="756" ht="34.5" customHeight="1">
      <c r="A756" s="18"/>
    </row>
    <row r="757" ht="34.5" customHeight="1">
      <c r="A757" s="18"/>
    </row>
    <row r="758" ht="34.5" customHeight="1">
      <c r="A758" s="18"/>
    </row>
    <row r="759" ht="34.5" customHeight="1">
      <c r="A759" s="18"/>
    </row>
    <row r="760" ht="34.5" customHeight="1">
      <c r="A760" s="18"/>
    </row>
    <row r="761" ht="34.5" customHeight="1">
      <c r="A761" s="18"/>
    </row>
    <row r="762" ht="34.5" customHeight="1">
      <c r="A762" s="18"/>
    </row>
    <row r="763" ht="34.5" customHeight="1">
      <c r="A763" s="18"/>
    </row>
    <row r="764" ht="34.5" customHeight="1">
      <c r="A764" s="18"/>
    </row>
    <row r="765" ht="34.5" customHeight="1">
      <c r="A765" s="18"/>
    </row>
    <row r="766" ht="34.5" customHeight="1">
      <c r="A766" s="18"/>
    </row>
    <row r="767" ht="34.5" customHeight="1">
      <c r="A767" s="18"/>
    </row>
    <row r="768" ht="34.5" customHeight="1">
      <c r="A768" s="18"/>
    </row>
    <row r="769" ht="34.5" customHeight="1">
      <c r="A769" s="18"/>
    </row>
    <row r="770" ht="34.5" customHeight="1">
      <c r="A770" s="18"/>
    </row>
    <row r="771" ht="34.5" customHeight="1">
      <c r="A771" s="18"/>
    </row>
    <row r="772" ht="34.5" customHeight="1">
      <c r="A772" s="18"/>
    </row>
    <row r="773" ht="34.5" customHeight="1">
      <c r="A773" s="18"/>
    </row>
    <row r="774" ht="34.5" customHeight="1">
      <c r="A774" s="18"/>
    </row>
    <row r="775" ht="34.5" customHeight="1">
      <c r="A775" s="18"/>
    </row>
    <row r="776" ht="34.5" customHeight="1">
      <c r="A776" s="18"/>
    </row>
    <row r="777" ht="34.5" customHeight="1">
      <c r="A777" s="18"/>
    </row>
    <row r="778" ht="34.5" customHeight="1">
      <c r="A778" s="18"/>
    </row>
    <row r="779" ht="34.5" customHeight="1">
      <c r="A779" s="18"/>
    </row>
    <row r="780" ht="34.5" customHeight="1">
      <c r="A780" s="18"/>
    </row>
    <row r="781" ht="34.5" customHeight="1">
      <c r="A781" s="18"/>
    </row>
    <row r="782" ht="34.5" customHeight="1">
      <c r="A782" s="18"/>
    </row>
    <row r="783" ht="34.5" customHeight="1">
      <c r="A783" s="18"/>
    </row>
    <row r="784" ht="34.5" customHeight="1">
      <c r="A784" s="18"/>
    </row>
    <row r="785" ht="34.5" customHeight="1">
      <c r="A785" s="18"/>
    </row>
    <row r="786" ht="34.5" customHeight="1">
      <c r="A786" s="18"/>
    </row>
    <row r="787" ht="34.5" customHeight="1">
      <c r="A787" s="18"/>
    </row>
    <row r="788" ht="34.5" customHeight="1">
      <c r="A788" s="18"/>
    </row>
    <row r="789" ht="34.5" customHeight="1">
      <c r="A789" s="18"/>
    </row>
    <row r="790" ht="34.5" customHeight="1">
      <c r="A790" s="18"/>
    </row>
    <row r="791" ht="34.5" customHeight="1">
      <c r="A791" s="18"/>
    </row>
    <row r="792" ht="34.5" customHeight="1">
      <c r="A792" s="18"/>
    </row>
    <row r="793" ht="34.5" customHeight="1">
      <c r="A793" s="18"/>
    </row>
    <row r="794" ht="34.5" customHeight="1">
      <c r="A794" s="18"/>
    </row>
    <row r="795" ht="34.5" customHeight="1">
      <c r="A795" s="18"/>
    </row>
    <row r="796" ht="34.5" customHeight="1">
      <c r="A796" s="18"/>
    </row>
    <row r="797" ht="34.5" customHeight="1">
      <c r="A797" s="18"/>
    </row>
    <row r="798" ht="34.5" customHeight="1">
      <c r="A798" s="18"/>
    </row>
    <row r="799" ht="34.5" customHeight="1">
      <c r="A799" s="18"/>
    </row>
    <row r="800" ht="34.5" customHeight="1">
      <c r="A800" s="18"/>
    </row>
    <row r="801" ht="34.5" customHeight="1">
      <c r="A801" s="18"/>
    </row>
    <row r="802" ht="34.5" customHeight="1">
      <c r="A802" s="18"/>
    </row>
    <row r="803" ht="34.5" customHeight="1">
      <c r="A803" s="18"/>
    </row>
    <row r="804" ht="34.5" customHeight="1">
      <c r="A804" s="18"/>
    </row>
    <row r="805" ht="34.5" customHeight="1">
      <c r="A805" s="18"/>
    </row>
    <row r="806" ht="34.5" customHeight="1">
      <c r="A806" s="18"/>
    </row>
    <row r="807" ht="34.5" customHeight="1">
      <c r="A807" s="18"/>
    </row>
    <row r="808" ht="34.5" customHeight="1">
      <c r="A808" s="18"/>
    </row>
    <row r="809" ht="34.5" customHeight="1">
      <c r="A809" s="18"/>
    </row>
    <row r="810" ht="34.5" customHeight="1">
      <c r="A810" s="18"/>
    </row>
    <row r="811" ht="34.5" customHeight="1">
      <c r="A811" s="18"/>
    </row>
    <row r="812" ht="34.5" customHeight="1">
      <c r="A812" s="18"/>
    </row>
    <row r="813" ht="34.5" customHeight="1">
      <c r="A813" s="18"/>
    </row>
    <row r="814" ht="34.5" customHeight="1">
      <c r="A814" s="18"/>
    </row>
    <row r="815" ht="34.5" customHeight="1">
      <c r="A815" s="18"/>
    </row>
    <row r="816" ht="34.5" customHeight="1">
      <c r="A816" s="18"/>
    </row>
    <row r="817" ht="34.5" customHeight="1">
      <c r="A817" s="18"/>
    </row>
    <row r="818" ht="34.5" customHeight="1">
      <c r="A818" s="18"/>
    </row>
    <row r="819" ht="34.5" customHeight="1">
      <c r="A819" s="18"/>
    </row>
    <row r="820" ht="34.5" customHeight="1">
      <c r="A820" s="18"/>
    </row>
    <row r="821" ht="34.5" customHeight="1">
      <c r="A821" s="18"/>
    </row>
    <row r="822" ht="34.5" customHeight="1">
      <c r="A822" s="18"/>
    </row>
    <row r="823" ht="34.5" customHeight="1">
      <c r="A823" s="18"/>
    </row>
    <row r="824" ht="34.5" customHeight="1">
      <c r="A824" s="18"/>
    </row>
    <row r="825" ht="34.5" customHeight="1">
      <c r="A825" s="18"/>
    </row>
    <row r="826" ht="34.5" customHeight="1">
      <c r="A826" s="18"/>
    </row>
    <row r="827" ht="34.5" customHeight="1">
      <c r="A827" s="18"/>
    </row>
    <row r="828" ht="34.5" customHeight="1">
      <c r="A828" s="18"/>
    </row>
    <row r="829" ht="34.5" customHeight="1">
      <c r="A829" s="18"/>
    </row>
    <row r="830" ht="34.5" customHeight="1">
      <c r="A830" s="18"/>
    </row>
    <row r="831" ht="34.5" customHeight="1">
      <c r="A831" s="18"/>
    </row>
    <row r="832" ht="34.5" customHeight="1">
      <c r="A832" s="18"/>
    </row>
    <row r="833" ht="34.5" customHeight="1">
      <c r="A833" s="18"/>
    </row>
    <row r="834" ht="34.5" customHeight="1">
      <c r="A834" s="18"/>
    </row>
    <row r="835" ht="34.5" customHeight="1">
      <c r="A835" s="18"/>
    </row>
    <row r="836" ht="34.5" customHeight="1">
      <c r="A836" s="18"/>
    </row>
    <row r="837" ht="34.5" customHeight="1">
      <c r="A837" s="18"/>
    </row>
    <row r="838" ht="34.5" customHeight="1">
      <c r="A838" s="18"/>
    </row>
    <row r="839" ht="34.5" customHeight="1">
      <c r="A839" s="18"/>
    </row>
    <row r="840" ht="34.5" customHeight="1">
      <c r="A840" s="18"/>
    </row>
    <row r="841" ht="34.5" customHeight="1">
      <c r="A841" s="18"/>
    </row>
    <row r="842" ht="34.5" customHeight="1">
      <c r="A842" s="18"/>
    </row>
    <row r="843" ht="34.5" customHeight="1">
      <c r="A843" s="18"/>
    </row>
    <row r="844" ht="34.5" customHeight="1">
      <c r="A844" s="18"/>
    </row>
    <row r="845" ht="34.5" customHeight="1">
      <c r="A845" s="18"/>
    </row>
    <row r="846" ht="34.5" customHeight="1">
      <c r="A846" s="18"/>
    </row>
    <row r="847" ht="34.5" customHeight="1">
      <c r="A847" s="18"/>
    </row>
    <row r="848" ht="34.5" customHeight="1">
      <c r="A848" s="18"/>
    </row>
    <row r="849" ht="34.5" customHeight="1">
      <c r="A849" s="18"/>
    </row>
    <row r="850" ht="34.5" customHeight="1">
      <c r="A850" s="18"/>
    </row>
    <row r="851" ht="34.5" customHeight="1">
      <c r="A851" s="18"/>
    </row>
    <row r="852" ht="34.5" customHeight="1">
      <c r="A852" s="18"/>
    </row>
    <row r="853" ht="34.5" customHeight="1">
      <c r="A853" s="18"/>
    </row>
    <row r="854" ht="34.5" customHeight="1">
      <c r="A854" s="18"/>
    </row>
    <row r="855" ht="34.5" customHeight="1">
      <c r="A855" s="18"/>
    </row>
    <row r="856" ht="34.5" customHeight="1">
      <c r="A856" s="18"/>
    </row>
    <row r="857" ht="34.5" customHeight="1">
      <c r="A857" s="18"/>
    </row>
    <row r="858" ht="34.5" customHeight="1">
      <c r="A858" s="18"/>
    </row>
    <row r="859" ht="34.5" customHeight="1">
      <c r="A859" s="18"/>
    </row>
    <row r="860" ht="34.5" customHeight="1">
      <c r="A860" s="18"/>
    </row>
    <row r="861" ht="34.5" customHeight="1">
      <c r="A861" s="18"/>
    </row>
    <row r="862" ht="34.5" customHeight="1">
      <c r="A862" s="18"/>
    </row>
    <row r="863" ht="34.5" customHeight="1">
      <c r="A863" s="18"/>
    </row>
    <row r="864" ht="34.5" customHeight="1">
      <c r="A864" s="18"/>
    </row>
    <row r="865" ht="34.5" customHeight="1">
      <c r="A865" s="18"/>
    </row>
    <row r="866" ht="34.5" customHeight="1">
      <c r="A866" s="18"/>
    </row>
    <row r="867" ht="34.5" customHeight="1">
      <c r="A867" s="18"/>
    </row>
    <row r="868" ht="34.5" customHeight="1">
      <c r="A868" s="18"/>
    </row>
    <row r="869" ht="34.5" customHeight="1">
      <c r="A869" s="18"/>
    </row>
    <row r="870" ht="34.5" customHeight="1">
      <c r="A870" s="18"/>
    </row>
    <row r="871" ht="34.5" customHeight="1">
      <c r="A871" s="18"/>
    </row>
    <row r="872" ht="34.5" customHeight="1">
      <c r="A872" s="18"/>
    </row>
    <row r="873" ht="34.5" customHeight="1">
      <c r="A873" s="18"/>
    </row>
    <row r="874" ht="34.5" customHeight="1">
      <c r="A874" s="18"/>
    </row>
    <row r="875" ht="34.5" customHeight="1">
      <c r="A875" s="18"/>
    </row>
    <row r="876" ht="34.5" customHeight="1">
      <c r="A876" s="18"/>
    </row>
    <row r="877" ht="34.5" customHeight="1">
      <c r="A877" s="18"/>
    </row>
    <row r="878" ht="34.5" customHeight="1">
      <c r="A878" s="18"/>
    </row>
    <row r="879" ht="34.5" customHeight="1">
      <c r="A879" s="18"/>
    </row>
    <row r="880" ht="34.5" customHeight="1">
      <c r="A880" s="18"/>
    </row>
    <row r="881" ht="34.5" customHeight="1">
      <c r="A881" s="18"/>
    </row>
    <row r="882" ht="34.5" customHeight="1">
      <c r="A882" s="18"/>
    </row>
    <row r="883" ht="34.5" customHeight="1">
      <c r="A883" s="18"/>
    </row>
    <row r="884" ht="34.5" customHeight="1">
      <c r="A884" s="18"/>
    </row>
    <row r="885" ht="34.5" customHeight="1">
      <c r="A885" s="18"/>
    </row>
    <row r="886" ht="34.5" customHeight="1">
      <c r="A886" s="18"/>
    </row>
    <row r="887" ht="34.5" customHeight="1">
      <c r="A887" s="18"/>
    </row>
    <row r="888" ht="34.5" customHeight="1">
      <c r="A888" s="18"/>
    </row>
    <row r="889" ht="34.5" customHeight="1">
      <c r="A889" s="18"/>
    </row>
    <row r="890" ht="34.5" customHeight="1">
      <c r="A890" s="18"/>
    </row>
    <row r="891" ht="34.5" customHeight="1">
      <c r="A891" s="18"/>
    </row>
    <row r="892" ht="34.5" customHeight="1">
      <c r="A892" s="18"/>
    </row>
    <row r="893" ht="34.5" customHeight="1">
      <c r="A893" s="18"/>
    </row>
    <row r="894" ht="34.5" customHeight="1">
      <c r="A894" s="18"/>
    </row>
    <row r="895" ht="34.5" customHeight="1">
      <c r="A895" s="18"/>
    </row>
    <row r="896" ht="34.5" customHeight="1">
      <c r="A896" s="18"/>
    </row>
    <row r="897" ht="34.5" customHeight="1">
      <c r="A897" s="18"/>
    </row>
    <row r="898" ht="34.5" customHeight="1">
      <c r="A898" s="18"/>
    </row>
    <row r="899" ht="34.5" customHeight="1">
      <c r="A899" s="18"/>
    </row>
    <row r="900" ht="34.5" customHeight="1">
      <c r="A900" s="18"/>
    </row>
    <row r="901" ht="34.5" customHeight="1">
      <c r="A901" s="18"/>
    </row>
    <row r="902" ht="34.5" customHeight="1">
      <c r="A902" s="18"/>
    </row>
    <row r="903" ht="34.5" customHeight="1">
      <c r="A903" s="18"/>
    </row>
    <row r="904" ht="34.5" customHeight="1">
      <c r="A904" s="18"/>
    </row>
    <row r="905" ht="34.5" customHeight="1">
      <c r="A905" s="18"/>
    </row>
    <row r="906" ht="34.5" customHeight="1">
      <c r="A906" s="18"/>
    </row>
    <row r="907" ht="34.5" customHeight="1">
      <c r="A907" s="18"/>
    </row>
    <row r="908" ht="34.5" customHeight="1">
      <c r="A908" s="18"/>
    </row>
    <row r="909" ht="34.5" customHeight="1">
      <c r="A909" s="18"/>
    </row>
    <row r="910" ht="34.5" customHeight="1">
      <c r="A910" s="18"/>
    </row>
    <row r="911" ht="34.5" customHeight="1">
      <c r="A911" s="18"/>
    </row>
    <row r="912" ht="34.5" customHeight="1">
      <c r="A912" s="18"/>
    </row>
    <row r="913" ht="34.5" customHeight="1">
      <c r="A913" s="18"/>
    </row>
    <row r="914" ht="34.5" customHeight="1">
      <c r="A914" s="18"/>
    </row>
    <row r="915" ht="34.5" customHeight="1">
      <c r="A915" s="18"/>
    </row>
    <row r="916" ht="34.5" customHeight="1">
      <c r="A916" s="18"/>
    </row>
    <row r="917" ht="34.5" customHeight="1">
      <c r="A917" s="18"/>
    </row>
    <row r="918" ht="34.5" customHeight="1">
      <c r="A918" s="18"/>
    </row>
    <row r="919" ht="34.5" customHeight="1">
      <c r="A919" s="18"/>
    </row>
    <row r="920" ht="34.5" customHeight="1">
      <c r="A920" s="18"/>
    </row>
    <row r="921" ht="34.5" customHeight="1">
      <c r="A921" s="18"/>
    </row>
    <row r="922" ht="34.5" customHeight="1">
      <c r="A922" s="18"/>
    </row>
    <row r="923" ht="34.5" customHeight="1">
      <c r="A923" s="18"/>
    </row>
    <row r="924" ht="34.5" customHeight="1">
      <c r="A924" s="18"/>
    </row>
    <row r="925" ht="34.5" customHeight="1">
      <c r="A925" s="18"/>
    </row>
    <row r="926" ht="34.5" customHeight="1">
      <c r="A926" s="18"/>
    </row>
    <row r="927" ht="34.5" customHeight="1">
      <c r="A927" s="18"/>
    </row>
    <row r="928" ht="34.5" customHeight="1">
      <c r="A928" s="18"/>
    </row>
    <row r="929" ht="34.5" customHeight="1">
      <c r="A929" s="18"/>
    </row>
    <row r="930" ht="34.5" customHeight="1">
      <c r="A930" s="18"/>
    </row>
    <row r="931" ht="34.5" customHeight="1">
      <c r="A931" s="18"/>
    </row>
    <row r="932" ht="34.5" customHeight="1">
      <c r="A932" s="18"/>
    </row>
    <row r="933" ht="34.5" customHeight="1">
      <c r="A933" s="18"/>
    </row>
    <row r="934" ht="34.5" customHeight="1">
      <c r="A934" s="18"/>
    </row>
    <row r="935" ht="34.5" customHeight="1">
      <c r="A935" s="18"/>
    </row>
    <row r="936" ht="34.5" customHeight="1">
      <c r="A936" s="18"/>
    </row>
    <row r="937" ht="34.5" customHeight="1">
      <c r="A937" s="18"/>
    </row>
    <row r="938" ht="34.5" customHeight="1">
      <c r="A938" s="18"/>
    </row>
    <row r="939" ht="34.5" customHeight="1">
      <c r="A939" s="18"/>
    </row>
    <row r="940" ht="34.5" customHeight="1">
      <c r="A940" s="18"/>
    </row>
    <row r="941" ht="34.5" customHeight="1">
      <c r="A941" s="18"/>
    </row>
    <row r="942" ht="34.5" customHeight="1">
      <c r="A942" s="18"/>
    </row>
    <row r="943" ht="34.5" customHeight="1">
      <c r="A943" s="18"/>
    </row>
    <row r="944" ht="34.5" customHeight="1">
      <c r="A944" s="18"/>
    </row>
    <row r="945" ht="34.5" customHeight="1">
      <c r="A945" s="18"/>
    </row>
    <row r="946" ht="34.5" customHeight="1">
      <c r="A946" s="18"/>
    </row>
    <row r="947" ht="34.5" customHeight="1">
      <c r="A947" s="18"/>
    </row>
    <row r="948" ht="34.5" customHeight="1">
      <c r="A948" s="18"/>
    </row>
    <row r="949" ht="34.5" customHeight="1">
      <c r="A949" s="18"/>
    </row>
    <row r="950" ht="34.5" customHeight="1">
      <c r="A950" s="18"/>
    </row>
    <row r="951" ht="34.5" customHeight="1">
      <c r="A951" s="18"/>
    </row>
    <row r="952" ht="34.5" customHeight="1">
      <c r="A952" s="18"/>
    </row>
    <row r="953" ht="34.5" customHeight="1">
      <c r="A953" s="18"/>
    </row>
    <row r="954" ht="34.5" customHeight="1">
      <c r="A954" s="18"/>
    </row>
    <row r="955" ht="34.5" customHeight="1">
      <c r="A955" s="18"/>
    </row>
    <row r="956" ht="34.5" customHeight="1">
      <c r="A956" s="18"/>
    </row>
    <row r="957" ht="34.5" customHeight="1">
      <c r="A957" s="18"/>
    </row>
    <row r="958" ht="34.5" customHeight="1">
      <c r="A958" s="18"/>
    </row>
    <row r="959" ht="34.5" customHeight="1">
      <c r="A959" s="18"/>
    </row>
    <row r="960" ht="34.5" customHeight="1">
      <c r="A960" s="18"/>
    </row>
    <row r="961" ht="34.5" customHeight="1">
      <c r="A961" s="18"/>
    </row>
    <row r="962" ht="34.5" customHeight="1">
      <c r="A962" s="18"/>
    </row>
    <row r="963" ht="34.5" customHeight="1">
      <c r="A963" s="18"/>
    </row>
    <row r="964" ht="34.5" customHeight="1">
      <c r="A964" s="18"/>
    </row>
    <row r="965" ht="34.5" customHeight="1">
      <c r="A965" s="18"/>
    </row>
    <row r="966" ht="34.5" customHeight="1">
      <c r="A966" s="18"/>
    </row>
    <row r="967" ht="34.5" customHeight="1">
      <c r="A967" s="18"/>
    </row>
    <row r="968" ht="34.5" customHeight="1">
      <c r="A968" s="18"/>
    </row>
    <row r="969" ht="34.5" customHeight="1">
      <c r="A969" s="18"/>
    </row>
    <row r="970" ht="34.5" customHeight="1">
      <c r="A970" s="18"/>
    </row>
    <row r="971" ht="34.5" customHeight="1">
      <c r="A971" s="18"/>
    </row>
    <row r="972" ht="34.5" customHeight="1">
      <c r="A972" s="18"/>
    </row>
    <row r="973" ht="34.5" customHeight="1">
      <c r="A973" s="18"/>
    </row>
    <row r="974" ht="34.5" customHeight="1">
      <c r="A974" s="18"/>
    </row>
    <row r="975" ht="34.5" customHeight="1">
      <c r="A975" s="18"/>
    </row>
    <row r="976" ht="34.5" customHeight="1">
      <c r="A976" s="18"/>
    </row>
    <row r="977" ht="34.5" customHeight="1">
      <c r="A977" s="18"/>
    </row>
    <row r="978" ht="34.5" customHeight="1">
      <c r="A978" s="18"/>
    </row>
    <row r="979" ht="34.5" customHeight="1">
      <c r="A979" s="18"/>
    </row>
    <row r="980" ht="34.5" customHeight="1">
      <c r="A980" s="18"/>
    </row>
    <row r="981" ht="34.5" customHeight="1">
      <c r="A981" s="18"/>
    </row>
    <row r="982" ht="34.5" customHeight="1">
      <c r="A982" s="18"/>
    </row>
    <row r="983" ht="34.5" customHeight="1">
      <c r="A983" s="18"/>
    </row>
    <row r="984" ht="34.5" customHeight="1">
      <c r="A984" s="18"/>
    </row>
    <row r="985" ht="34.5" customHeight="1">
      <c r="A985" s="18"/>
    </row>
    <row r="986" ht="34.5" customHeight="1">
      <c r="A986" s="18"/>
    </row>
    <row r="987" ht="34.5" customHeight="1">
      <c r="A987" s="18"/>
    </row>
    <row r="988" ht="34.5" customHeight="1">
      <c r="A988" s="18"/>
    </row>
    <row r="989" ht="34.5" customHeight="1">
      <c r="A989" s="18"/>
    </row>
    <row r="990" ht="34.5" customHeight="1">
      <c r="A990" s="18"/>
    </row>
    <row r="991" ht="34.5" customHeight="1">
      <c r="A991" s="18"/>
    </row>
    <row r="992" ht="34.5" customHeight="1">
      <c r="A992" s="18"/>
    </row>
    <row r="993" ht="34.5" customHeight="1">
      <c r="A993" s="18"/>
    </row>
    <row r="994" ht="34.5" customHeight="1">
      <c r="A994" s="18"/>
    </row>
    <row r="995" ht="34.5" customHeight="1">
      <c r="A995" s="18"/>
    </row>
    <row r="996" ht="34.5" customHeight="1">
      <c r="A996" s="18"/>
    </row>
    <row r="997" ht="34.5" customHeight="1">
      <c r="A997" s="18"/>
    </row>
    <row r="998" ht="34.5" customHeight="1">
      <c r="A998" s="18"/>
    </row>
    <row r="999" ht="34.5" customHeight="1">
      <c r="A999" s="18"/>
    </row>
    <row r="1000" ht="34.5" customHeight="1">
      <c r="A1000" s="18"/>
    </row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8.71"/>
    <col customWidth="1" min="3" max="3" width="95.43"/>
  </cols>
  <sheetData>
    <row r="1" ht="39.75" customHeight="1">
      <c r="A1" s="14" t="s">
        <v>3938</v>
      </c>
      <c r="B1" s="16" t="str">
        <f>IMAGE("https://lmztiles.s3.eu-west-1.amazonaws.com/Modern_Interiors_v41.3.4/1_Interiors/16x16/Theme_Sorter_Singles/19_Hospital_SIngles/Hospital_Singles_1.png")</f>
        <v/>
      </c>
    </row>
    <row r="2" ht="39.75" customHeight="1">
      <c r="A2" s="14" t="s">
        <v>3939</v>
      </c>
      <c r="B2" s="16" t="str">
        <f>IMAGE("https://lmztiles.s3.eu-west-1.amazonaws.com/Modern_Interiors_v41.3.4/1_Interiors/16x16/Theme_Sorter_Singles/19_Hospital_SIngles/Hospital_Singles_2.png")</f>
        <v/>
      </c>
    </row>
    <row r="3" ht="39.75" customHeight="1">
      <c r="A3" s="14" t="s">
        <v>3940</v>
      </c>
      <c r="B3" s="16" t="str">
        <f>IMAGE("https://lmztiles.s3.eu-west-1.amazonaws.com/Modern_Interiors_v41.3.4/1_Interiors/16x16/Theme_Sorter_Singles/19_Hospital_SIngles/Hospital_Singles_3.png")</f>
        <v/>
      </c>
    </row>
    <row r="4" ht="39.75" customHeight="1">
      <c r="A4" s="14" t="s">
        <v>3941</v>
      </c>
      <c r="B4" s="16" t="str">
        <f>IMAGE("https://lmztiles.s3.eu-west-1.amazonaws.com/Modern_Interiors_v41.3.4/1_Interiors/16x16/Theme_Sorter_Singles/19_Hospital_SIngles/Hospital_Singles_4.png")</f>
        <v/>
      </c>
    </row>
    <row r="5" ht="39.75" customHeight="1">
      <c r="A5" s="14" t="s">
        <v>3942</v>
      </c>
      <c r="B5" s="16" t="str">
        <f>IMAGE("https://lmztiles.s3.eu-west-1.amazonaws.com/Modern_Interiors_v41.3.4/1_Interiors/16x16/Theme_Sorter_Singles/19_Hospital_SIngles/Hospital_Singles_5.png")</f>
        <v/>
      </c>
    </row>
    <row r="6" ht="39.75" customHeight="1">
      <c r="A6" s="14" t="s">
        <v>3943</v>
      </c>
      <c r="B6" s="16" t="str">
        <f>IMAGE("https://lmztiles.s3.eu-west-1.amazonaws.com/Modern_Interiors_v41.3.4/1_Interiors/16x16/Theme_Sorter_Singles/19_Hospital_SIngles/Hospital_Singles_6.png")</f>
        <v/>
      </c>
    </row>
    <row r="7" ht="39.75" customHeight="1">
      <c r="A7" s="14" t="s">
        <v>3944</v>
      </c>
      <c r="B7" s="16" t="str">
        <f>IMAGE("https://lmztiles.s3.eu-west-1.amazonaws.com/Modern_Interiors_v41.3.4/1_Interiors/16x16/Theme_Sorter_Singles/19_Hospital_SIngles/Hospital_Singles_7.png")</f>
        <v/>
      </c>
    </row>
    <row r="8" ht="39.75" customHeight="1">
      <c r="A8" s="14" t="s">
        <v>3945</v>
      </c>
      <c r="B8" s="16" t="str">
        <f>IMAGE("https://lmztiles.s3.eu-west-1.amazonaws.com/Modern_Interiors_v41.3.4/1_Interiors/16x16/Theme_Sorter_Singles/19_Hospital_SIngles/Hospital_Singles_8.png")</f>
        <v/>
      </c>
    </row>
    <row r="9" ht="39.75" customHeight="1">
      <c r="A9" s="14" t="s">
        <v>3946</v>
      </c>
      <c r="B9" s="16" t="str">
        <f>IMAGE("https://lmztiles.s3.eu-west-1.amazonaws.com/Modern_Interiors_v41.3.4/1_Interiors/16x16/Theme_Sorter_Singles/19_Hospital_SIngles/Hospital_Singles_9.png")</f>
        <v/>
      </c>
    </row>
    <row r="10" ht="39.75" customHeight="1">
      <c r="A10" s="14" t="s">
        <v>3947</v>
      </c>
      <c r="B10" s="16" t="str">
        <f>IMAGE("https://lmztiles.s3.eu-west-1.amazonaws.com/Modern_Interiors_v41.3.4/1_Interiors/16x16/Theme_Sorter_Singles/19_Hospital_SIngles/Hospital_Singles_10.png")</f>
        <v/>
      </c>
    </row>
    <row r="11" ht="39.75" customHeight="1">
      <c r="A11" s="14" t="s">
        <v>3948</v>
      </c>
      <c r="B11" s="16" t="str">
        <f>IMAGE("https://lmztiles.s3.eu-west-1.amazonaws.com/Modern_Interiors_v41.3.4/1_Interiors/16x16/Theme_Sorter_Singles/19_Hospital_SIngles/Hospital_Singles_11.png")</f>
        <v/>
      </c>
    </row>
    <row r="12" ht="39.75" customHeight="1">
      <c r="A12" s="14" t="s">
        <v>3949</v>
      </c>
      <c r="B12" s="16" t="str">
        <f>IMAGE("https://lmztiles.s3.eu-west-1.amazonaws.com/Modern_Interiors_v41.3.4/1_Interiors/16x16/Theme_Sorter_Singles/19_Hospital_SIngles/Hospital_Singles_12.png")</f>
        <v/>
      </c>
    </row>
    <row r="13" ht="39.75" customHeight="1">
      <c r="A13" s="14" t="s">
        <v>3950</v>
      </c>
      <c r="B13" s="16" t="str">
        <f>IMAGE("https://lmztiles.s3.eu-west-1.amazonaws.com/Modern_Interiors_v41.3.4/1_Interiors/16x16/Theme_Sorter_Singles/19_Hospital_SIngles/Hospital_Singles_13.png")</f>
        <v/>
      </c>
    </row>
    <row r="14" ht="39.75" customHeight="1">
      <c r="A14" s="14" t="s">
        <v>3951</v>
      </c>
      <c r="B14" s="16" t="str">
        <f>IMAGE("https://lmztiles.s3.eu-west-1.amazonaws.com/Modern_Interiors_v41.3.4/1_Interiors/16x16/Theme_Sorter_Singles/19_Hospital_SIngles/Hospital_Singles_14.png")</f>
        <v/>
      </c>
    </row>
    <row r="15" ht="39.75" customHeight="1">
      <c r="A15" s="14" t="s">
        <v>3952</v>
      </c>
      <c r="B15" s="16" t="str">
        <f>IMAGE("https://lmztiles.s3.eu-west-1.amazonaws.com/Modern_Interiors_v41.3.4/1_Interiors/16x16/Theme_Sorter_Singles/19_Hospital_SIngles/Hospital_Singles_15.png")</f>
        <v/>
      </c>
    </row>
    <row r="16" ht="39.75" customHeight="1">
      <c r="A16" s="14" t="s">
        <v>3953</v>
      </c>
      <c r="B16" s="16" t="str">
        <f>IMAGE("https://lmztiles.s3.eu-west-1.amazonaws.com/Modern_Interiors_v41.3.4/1_Interiors/16x16/Theme_Sorter_Singles/19_Hospital_SIngles/Hospital_Singles_16.png")</f>
        <v/>
      </c>
    </row>
    <row r="17" ht="39.75" customHeight="1">
      <c r="A17" s="14" t="s">
        <v>3954</v>
      </c>
      <c r="B17" s="16" t="str">
        <f>IMAGE("https://lmztiles.s3.eu-west-1.amazonaws.com/Modern_Interiors_v41.3.4/1_Interiors/16x16/Theme_Sorter_Singles/19_Hospital_SIngles/Hospital_Singles_17.png")</f>
        <v/>
      </c>
    </row>
    <row r="18" ht="39.75" customHeight="1">
      <c r="A18" s="14" t="s">
        <v>3955</v>
      </c>
      <c r="B18" s="16" t="str">
        <f>IMAGE("https://lmztiles.s3.eu-west-1.amazonaws.com/Modern_Interiors_v41.3.4/1_Interiors/16x16/Theme_Sorter_Singles/19_Hospital_SIngles/Hospital_Singles_18.png")</f>
        <v/>
      </c>
    </row>
    <row r="19" ht="39.75" customHeight="1">
      <c r="A19" s="14" t="s">
        <v>3956</v>
      </c>
      <c r="B19" s="16" t="str">
        <f>IMAGE("https://lmztiles.s3.eu-west-1.amazonaws.com/Modern_Interiors_v41.3.4/1_Interiors/16x16/Theme_Sorter_Singles/19_Hospital_SIngles/Hospital_Singles_19.png")</f>
        <v/>
      </c>
    </row>
    <row r="20" ht="39.75" customHeight="1">
      <c r="A20" s="14" t="s">
        <v>3957</v>
      </c>
      <c r="B20" s="16" t="str">
        <f>IMAGE("https://lmztiles.s3.eu-west-1.amazonaws.com/Modern_Interiors_v41.3.4/1_Interiors/16x16/Theme_Sorter_Singles/19_Hospital_SIngles/Hospital_Singles_20.png")</f>
        <v/>
      </c>
    </row>
    <row r="21" ht="39.75" customHeight="1">
      <c r="A21" s="14" t="s">
        <v>3958</v>
      </c>
      <c r="B21" s="16" t="str">
        <f>IMAGE("https://lmztiles.s3.eu-west-1.amazonaws.com/Modern_Interiors_v41.3.4/1_Interiors/16x16/Theme_Sorter_Singles/19_Hospital_SIngles/Hospital_Singles_21.png")</f>
        <v/>
      </c>
    </row>
    <row r="22" ht="39.75" customHeight="1">
      <c r="A22" s="14" t="s">
        <v>3959</v>
      </c>
      <c r="B22" s="16" t="str">
        <f>IMAGE("https://lmztiles.s3.eu-west-1.amazonaws.com/Modern_Interiors_v41.3.4/1_Interiors/16x16/Theme_Sorter_Singles/19_Hospital_SIngles/Hospital_Singles_22.png")</f>
        <v/>
      </c>
    </row>
    <row r="23" ht="39.75" customHeight="1">
      <c r="A23" s="14" t="s">
        <v>3960</v>
      </c>
      <c r="B23" s="16" t="str">
        <f>IMAGE("https://lmztiles.s3.eu-west-1.amazonaws.com/Modern_Interiors_v41.3.4/1_Interiors/16x16/Theme_Sorter_Singles/19_Hospital_SIngles/Hospital_Singles_24.png")</f>
        <v/>
      </c>
    </row>
    <row r="24" ht="39.75" customHeight="1">
      <c r="A24" s="14" t="s">
        <v>3961</v>
      </c>
      <c r="B24" s="16" t="str">
        <f>IMAGE("https://lmztiles.s3.eu-west-1.amazonaws.com/Modern_Interiors_v41.3.4/1_Interiors/16x16/Theme_Sorter_Singles/19_Hospital_SIngles/Hospital_Singles_25.png")</f>
        <v/>
      </c>
    </row>
    <row r="25" ht="39.75" customHeight="1">
      <c r="A25" s="14" t="s">
        <v>3962</v>
      </c>
      <c r="B25" s="16" t="str">
        <f>IMAGE("https://lmztiles.s3.eu-west-1.amazonaws.com/Modern_Interiors_v41.3.4/1_Interiors/16x16/Theme_Sorter_Singles/19_Hospital_SIngles/Hospital_Singles_26.png")</f>
        <v/>
      </c>
    </row>
    <row r="26" ht="39.75" customHeight="1">
      <c r="A26" s="14" t="s">
        <v>3963</v>
      </c>
      <c r="B26" s="16" t="str">
        <f>IMAGE("https://lmztiles.s3.eu-west-1.amazonaws.com/Modern_Interiors_v41.3.4/1_Interiors/16x16/Theme_Sorter_Singles/19_Hospital_SIngles/Hospital_Singles_27.png")</f>
        <v/>
      </c>
    </row>
    <row r="27" ht="39.75" customHeight="1">
      <c r="A27" s="14" t="s">
        <v>3964</v>
      </c>
      <c r="B27" s="16" t="str">
        <f>IMAGE("https://lmztiles.s3.eu-west-1.amazonaws.com/Modern_Interiors_v41.3.4/1_Interiors/16x16/Theme_Sorter_Singles/19_Hospital_SIngles/Hospital_Singles_28.png")</f>
        <v/>
      </c>
    </row>
    <row r="28" ht="39.75" customHeight="1">
      <c r="A28" s="14" t="s">
        <v>3965</v>
      </c>
      <c r="B28" s="16" t="str">
        <f>IMAGE("https://lmztiles.s3.eu-west-1.amazonaws.com/Modern_Interiors_v41.3.4/1_Interiors/16x16/Theme_Sorter_Singles/19_Hospital_SIngles/Hospital_Singles_29.png")</f>
        <v/>
      </c>
    </row>
    <row r="29" ht="39.75" customHeight="1">
      <c r="A29" s="14" t="s">
        <v>3966</v>
      </c>
      <c r="B29" s="16" t="str">
        <f>IMAGE("https://lmztiles.s3.eu-west-1.amazonaws.com/Modern_Interiors_v41.3.4/1_Interiors/16x16/Theme_Sorter_Singles/19_Hospital_SIngles/Hospital_Singles_30.png")</f>
        <v/>
      </c>
    </row>
    <row r="30" ht="39.75" customHeight="1">
      <c r="A30" s="14" t="s">
        <v>3967</v>
      </c>
      <c r="B30" s="16" t="str">
        <f>IMAGE("https://lmztiles.s3.eu-west-1.amazonaws.com/Modern_Interiors_v41.3.4/1_Interiors/16x16/Theme_Sorter_Singles/19_Hospital_SIngles/Hospital_Singles_31.png")</f>
        <v/>
      </c>
    </row>
    <row r="31" ht="39.75" customHeight="1">
      <c r="A31" s="14" t="s">
        <v>3968</v>
      </c>
      <c r="B31" s="16" t="str">
        <f>IMAGE("https://lmztiles.s3.eu-west-1.amazonaws.com/Modern_Interiors_v41.3.4/1_Interiors/16x16/Theme_Sorter_Singles/19_Hospital_SIngles/Hospital_Singles_32.png")</f>
        <v/>
      </c>
    </row>
    <row r="32" ht="39.75" customHeight="1">
      <c r="A32" s="14" t="s">
        <v>3969</v>
      </c>
      <c r="B32" s="16" t="str">
        <f>IMAGE("https://lmztiles.s3.eu-west-1.amazonaws.com/Modern_Interiors_v41.3.4/1_Interiors/16x16/Theme_Sorter_Singles/19_Hospital_SIngles/Hospital_Singles_33.png")</f>
        <v/>
      </c>
    </row>
    <row r="33" ht="39.75" customHeight="1">
      <c r="A33" s="14" t="s">
        <v>3970</v>
      </c>
      <c r="B33" s="16" t="str">
        <f>IMAGE("https://lmztiles.s3.eu-west-1.amazonaws.com/Modern_Interiors_v41.3.4/1_Interiors/16x16/Theme_Sorter_Singles/19_Hospital_SIngles/Hospital_Singles_34.png")</f>
        <v/>
      </c>
    </row>
    <row r="34" ht="39.75" customHeight="1">
      <c r="A34" s="14" t="s">
        <v>3971</v>
      </c>
      <c r="B34" s="16" t="str">
        <f>IMAGE("https://lmztiles.s3.eu-west-1.amazonaws.com/Modern_Interiors_v41.3.4/1_Interiors/16x16/Theme_Sorter_Singles/19_Hospital_SIngles/Hospital_Singles_35.png")</f>
        <v/>
      </c>
    </row>
    <row r="35" ht="39.75" customHeight="1">
      <c r="A35" s="14" t="s">
        <v>3972</v>
      </c>
      <c r="B35" s="16" t="str">
        <f>IMAGE("https://lmztiles.s3.eu-west-1.amazonaws.com/Modern_Interiors_v41.3.4/1_Interiors/16x16/Theme_Sorter_Singles/19_Hospital_SIngles/Hospital_Singles_36.png")</f>
        <v/>
      </c>
    </row>
    <row r="36" ht="39.75" customHeight="1">
      <c r="A36" s="14" t="s">
        <v>3973</v>
      </c>
      <c r="B36" s="16" t="str">
        <f>IMAGE("https://lmztiles.s3.eu-west-1.amazonaws.com/Modern_Interiors_v41.3.4/1_Interiors/16x16/Theme_Sorter_Singles/19_Hospital_SIngles/Hospital_Singles_37.png")</f>
        <v/>
      </c>
    </row>
    <row r="37" ht="39.75" customHeight="1">
      <c r="A37" s="14" t="s">
        <v>3974</v>
      </c>
      <c r="B37" s="16" t="str">
        <f>IMAGE("https://lmztiles.s3.eu-west-1.amazonaws.com/Modern_Interiors_v41.3.4/1_Interiors/16x16/Theme_Sorter_Singles/19_Hospital_SIngles/Hospital_Singles_38.png")</f>
        <v/>
      </c>
    </row>
    <row r="38" ht="39.75" customHeight="1">
      <c r="A38" s="14" t="s">
        <v>3975</v>
      </c>
      <c r="B38" s="16" t="str">
        <f>IMAGE("https://lmztiles.s3.eu-west-1.amazonaws.com/Modern_Interiors_v41.3.4/1_Interiors/16x16/Theme_Sorter_Singles/19_Hospital_SIngles/Hospital_Singles_39.png")</f>
        <v/>
      </c>
    </row>
    <row r="39" ht="39.75" customHeight="1">
      <c r="A39" s="14" t="s">
        <v>3976</v>
      </c>
      <c r="B39" s="16" t="str">
        <f>IMAGE("https://lmztiles.s3.eu-west-1.amazonaws.com/Modern_Interiors_v41.3.4/1_Interiors/16x16/Theme_Sorter_Singles/19_Hospital_SIngles/Hospital_Singles_40.png")</f>
        <v/>
      </c>
    </row>
    <row r="40" ht="39.75" customHeight="1">
      <c r="A40" s="14" t="s">
        <v>3977</v>
      </c>
      <c r="B40" s="16" t="str">
        <f>IMAGE("https://lmztiles.s3.eu-west-1.amazonaws.com/Modern_Interiors_v41.3.4/1_Interiors/16x16/Theme_Sorter_Singles/19_Hospital_SIngles/Hospital_Singles_41.png")</f>
        <v/>
      </c>
    </row>
    <row r="41" ht="39.75" customHeight="1">
      <c r="A41" s="14" t="s">
        <v>3978</v>
      </c>
      <c r="B41" s="16" t="str">
        <f>IMAGE("https://lmztiles.s3.eu-west-1.amazonaws.com/Modern_Interiors_v41.3.4/1_Interiors/16x16/Theme_Sorter_Singles/19_Hospital_SIngles/Hospital_Singles_42.png")</f>
        <v/>
      </c>
    </row>
    <row r="42" ht="39.75" customHeight="1">
      <c r="A42" s="14" t="s">
        <v>3979</v>
      </c>
      <c r="B42" s="16" t="str">
        <f>IMAGE("https://lmztiles.s3.eu-west-1.amazonaws.com/Modern_Interiors_v41.3.4/1_Interiors/16x16/Theme_Sorter_Singles/19_Hospital_SIngles/Hospital_Singles_43.png")</f>
        <v/>
      </c>
    </row>
    <row r="43" ht="39.75" customHeight="1">
      <c r="A43" s="14" t="s">
        <v>3980</v>
      </c>
      <c r="B43" s="16" t="str">
        <f>IMAGE("https://lmztiles.s3.eu-west-1.amazonaws.com/Modern_Interiors_v41.3.4/1_Interiors/16x16/Theme_Sorter_Singles/19_Hospital_SIngles/Hospital_Singles_44.png")</f>
        <v/>
      </c>
    </row>
    <row r="44" ht="39.75" customHeight="1">
      <c r="A44" s="14" t="s">
        <v>3981</v>
      </c>
      <c r="B44" s="16" t="str">
        <f>IMAGE("https://lmztiles.s3.eu-west-1.amazonaws.com/Modern_Interiors_v41.3.4/1_Interiors/16x16/Theme_Sorter_Singles/19_Hospital_SIngles/Hospital_Singles_45.png")</f>
        <v/>
      </c>
    </row>
    <row r="45" ht="39.75" customHeight="1">
      <c r="A45" s="14" t="s">
        <v>3982</v>
      </c>
      <c r="B45" s="16" t="str">
        <f>IMAGE("https://lmztiles.s3.eu-west-1.amazonaws.com/Modern_Interiors_v41.3.4/1_Interiors/16x16/Theme_Sorter_Singles/19_Hospital_SIngles/Hospital_Singles_46.png")</f>
        <v/>
      </c>
    </row>
    <row r="46" ht="39.75" customHeight="1">
      <c r="A46" s="14" t="s">
        <v>3983</v>
      </c>
      <c r="B46" s="16" t="str">
        <f>IMAGE("https://lmztiles.s3.eu-west-1.amazonaws.com/Modern_Interiors_v41.3.4/1_Interiors/16x16/Theme_Sorter_Singles/19_Hospital_SIngles/Hospital_Singles_47.png")</f>
        <v/>
      </c>
    </row>
    <row r="47" ht="39.75" customHeight="1">
      <c r="A47" s="14" t="s">
        <v>3984</v>
      </c>
      <c r="B47" s="16" t="str">
        <f>IMAGE("https://lmztiles.s3.eu-west-1.amazonaws.com/Modern_Interiors_v41.3.4/1_Interiors/16x16/Theme_Sorter_Singles/19_Hospital_SIngles/Hospital_Singles_48.png")</f>
        <v/>
      </c>
    </row>
    <row r="48" ht="39.75" customHeight="1">
      <c r="A48" s="14" t="s">
        <v>3985</v>
      </c>
      <c r="B48" s="16" t="str">
        <f>IMAGE("https://lmztiles.s3.eu-west-1.amazonaws.com/Modern_Interiors_v41.3.4/1_Interiors/16x16/Theme_Sorter_Singles/19_Hospital_SIngles/Hospital_Singles_49.png")</f>
        <v/>
      </c>
    </row>
    <row r="49" ht="39.75" customHeight="1">
      <c r="A49" s="14" t="s">
        <v>3986</v>
      </c>
      <c r="B49" s="16" t="str">
        <f>IMAGE("https://lmztiles.s3.eu-west-1.amazonaws.com/Modern_Interiors_v41.3.4/1_Interiors/16x16/Theme_Sorter_Singles/19_Hospital_SIngles/Hospital_Singles_50.png")</f>
        <v/>
      </c>
    </row>
    <row r="50" ht="39.75" customHeight="1">
      <c r="A50" s="14" t="s">
        <v>3987</v>
      </c>
      <c r="B50" s="16" t="str">
        <f>IMAGE("https://lmztiles.s3.eu-west-1.amazonaws.com/Modern_Interiors_v41.3.4/1_Interiors/16x16/Theme_Sorter_Singles/19_Hospital_SIngles/Hospital_Singles_51.png")</f>
        <v/>
      </c>
    </row>
    <row r="51" ht="39.75" customHeight="1">
      <c r="A51" s="14" t="s">
        <v>3988</v>
      </c>
      <c r="B51" s="16" t="str">
        <f>IMAGE("https://lmztiles.s3.eu-west-1.amazonaws.com/Modern_Interiors_v41.3.4/1_Interiors/16x16/Theme_Sorter_Singles/19_Hospital_SIngles/Hospital_Singles_52.png")</f>
        <v/>
      </c>
    </row>
    <row r="52" ht="39.75" customHeight="1">
      <c r="A52" s="14" t="s">
        <v>3989</v>
      </c>
      <c r="B52" s="16" t="str">
        <f>IMAGE("https://lmztiles.s3.eu-west-1.amazonaws.com/Modern_Interiors_v41.3.4/1_Interiors/16x16/Theme_Sorter_Singles/19_Hospital_SIngles/Hospital_Singles_53.png")</f>
        <v/>
      </c>
    </row>
    <row r="53" ht="39.75" customHeight="1">
      <c r="A53" s="14" t="s">
        <v>3990</v>
      </c>
      <c r="B53" s="16" t="str">
        <f>IMAGE("https://lmztiles.s3.eu-west-1.amazonaws.com/Modern_Interiors_v41.3.4/1_Interiors/16x16/Theme_Sorter_Singles/19_Hospital_SIngles/Hospital_Singles_54.png")</f>
        <v/>
      </c>
    </row>
    <row r="54" ht="39.75" customHeight="1">
      <c r="A54" s="14" t="s">
        <v>3991</v>
      </c>
      <c r="B54" s="16" t="str">
        <f>IMAGE("https://lmztiles.s3.eu-west-1.amazonaws.com/Modern_Interiors_v41.3.4/1_Interiors/16x16/Theme_Sorter_Singles/19_Hospital_SIngles/Hospital_Singles_55.png")</f>
        <v/>
      </c>
    </row>
    <row r="55" ht="39.75" customHeight="1">
      <c r="A55" s="14" t="s">
        <v>3992</v>
      </c>
      <c r="B55" s="16" t="str">
        <f>IMAGE("https://lmztiles.s3.eu-west-1.amazonaws.com/Modern_Interiors_v41.3.4/1_Interiors/16x16/Theme_Sorter_Singles/19_Hospital_SIngles/Hospital_Singles_56.png")</f>
        <v/>
      </c>
    </row>
    <row r="56" ht="39.75" customHeight="1">
      <c r="A56" s="14" t="s">
        <v>3993</v>
      </c>
      <c r="B56" s="16" t="str">
        <f>IMAGE("https://lmztiles.s3.eu-west-1.amazonaws.com/Modern_Interiors_v41.3.4/1_Interiors/16x16/Theme_Sorter_Singles/19_Hospital_SIngles/Hospital_Singles_57.png")</f>
        <v/>
      </c>
    </row>
    <row r="57" ht="39.75" customHeight="1">
      <c r="A57" s="14" t="s">
        <v>3994</v>
      </c>
      <c r="B57" s="16" t="str">
        <f>IMAGE("https://lmztiles.s3.eu-west-1.amazonaws.com/Modern_Interiors_v41.3.4/1_Interiors/16x16/Theme_Sorter_Singles/19_Hospital_SIngles/Hospital_Singles_58.png")</f>
        <v/>
      </c>
    </row>
    <row r="58" ht="39.75" customHeight="1">
      <c r="A58" s="14" t="s">
        <v>3995</v>
      </c>
      <c r="B58" s="16" t="str">
        <f>IMAGE("https://lmztiles.s3.eu-west-1.amazonaws.com/Modern_Interiors_v41.3.4/1_Interiors/16x16/Theme_Sorter_Singles/19_Hospital_SIngles/Hospital_Singles_59.png")</f>
        <v/>
      </c>
    </row>
    <row r="59" ht="39.75" customHeight="1">
      <c r="A59" s="14" t="s">
        <v>3996</v>
      </c>
      <c r="B59" s="16" t="str">
        <f>IMAGE("https://lmztiles.s3.eu-west-1.amazonaws.com/Modern_Interiors_v41.3.4/1_Interiors/16x16/Theme_Sorter_Singles/19_Hospital_SIngles/Hospital_Singles_60.png")</f>
        <v/>
      </c>
    </row>
    <row r="60" ht="39.75" customHeight="1">
      <c r="A60" s="14" t="s">
        <v>3997</v>
      </c>
      <c r="B60" s="16" t="str">
        <f>IMAGE("https://lmztiles.s3.eu-west-1.amazonaws.com/Modern_Interiors_v41.3.4/1_Interiors/16x16/Theme_Sorter_Singles/19_Hospital_SIngles/Hospital_Singles_61.png")</f>
        <v/>
      </c>
    </row>
    <row r="61" ht="39.75" customHeight="1">
      <c r="A61" s="14" t="s">
        <v>3998</v>
      </c>
      <c r="B61" s="16" t="str">
        <f>IMAGE("https://lmztiles.s3.eu-west-1.amazonaws.com/Modern_Interiors_v41.3.4/1_Interiors/16x16/Theme_Sorter_Singles/19_Hospital_SIngles/Hospital_Singles_62.png")</f>
        <v/>
      </c>
    </row>
    <row r="62" ht="39.75" customHeight="1">
      <c r="A62" s="14" t="s">
        <v>3999</v>
      </c>
      <c r="B62" s="16" t="str">
        <f>IMAGE("https://lmztiles.s3.eu-west-1.amazonaws.com/Modern_Interiors_v41.3.4/1_Interiors/16x16/Theme_Sorter_Singles/19_Hospital_SIngles/Hospital_Singles_63.png")</f>
        <v/>
      </c>
    </row>
    <row r="63" ht="39.75" customHeight="1">
      <c r="A63" s="14" t="s">
        <v>4000</v>
      </c>
      <c r="B63" s="16" t="str">
        <f>IMAGE("https://lmztiles.s3.eu-west-1.amazonaws.com/Modern_Interiors_v41.3.4/1_Interiors/16x16/Theme_Sorter_Singles/19_Hospital_SIngles/Hospital_Singles_64.png")</f>
        <v/>
      </c>
    </row>
    <row r="64" ht="39.75" customHeight="1">
      <c r="A64" s="14" t="s">
        <v>4001</v>
      </c>
      <c r="B64" s="16" t="str">
        <f>IMAGE("https://lmztiles.s3.eu-west-1.amazonaws.com/Modern_Interiors_v41.3.4/1_Interiors/16x16/Theme_Sorter_Singles/19_Hospital_SIngles/Hospital_Singles_65.png")</f>
        <v/>
      </c>
    </row>
    <row r="65" ht="39.75" customHeight="1">
      <c r="A65" s="14" t="s">
        <v>4002</v>
      </c>
      <c r="B65" s="16" t="str">
        <f>IMAGE("https://lmztiles.s3.eu-west-1.amazonaws.com/Modern_Interiors_v41.3.4/1_Interiors/16x16/Theme_Sorter_Singles/19_Hospital_SIngles/Hospital_Singles_66.png")</f>
        <v/>
      </c>
    </row>
    <row r="66" ht="39.75" customHeight="1">
      <c r="A66" s="14" t="s">
        <v>4003</v>
      </c>
      <c r="B66" s="16" t="str">
        <f>IMAGE("https://lmztiles.s3.eu-west-1.amazonaws.com/Modern_Interiors_v41.3.4/1_Interiors/16x16/Theme_Sorter_Singles/19_Hospital_SIngles/Hospital_Singles_67.png")</f>
        <v/>
      </c>
    </row>
    <row r="67" ht="39.75" customHeight="1">
      <c r="A67" s="14" t="s">
        <v>4004</v>
      </c>
      <c r="B67" s="16" t="str">
        <f>IMAGE("https://lmztiles.s3.eu-west-1.amazonaws.com/Modern_Interiors_v41.3.4/1_Interiors/16x16/Theme_Sorter_Singles/19_Hospital_SIngles/Hospital_Singles_68.png")</f>
        <v/>
      </c>
    </row>
    <row r="68" ht="39.75" customHeight="1">
      <c r="A68" s="14" t="s">
        <v>4005</v>
      </c>
      <c r="B68" s="16" t="str">
        <f>IMAGE("https://lmztiles.s3.eu-west-1.amazonaws.com/Modern_Interiors_v41.3.4/1_Interiors/16x16/Theme_Sorter_Singles/19_Hospital_SIngles/Hospital_Singles_72.png")</f>
        <v/>
      </c>
    </row>
    <row r="69" ht="39.75" customHeight="1">
      <c r="A69" s="14" t="s">
        <v>4006</v>
      </c>
      <c r="B69" s="16" t="str">
        <f>IMAGE("https://lmztiles.s3.eu-west-1.amazonaws.com/Modern_Interiors_v41.3.4/1_Interiors/16x16/Theme_Sorter_Singles/19_Hospital_SIngles/Hospital_Singles_73.png")</f>
        <v/>
      </c>
    </row>
    <row r="70" ht="39.75" customHeight="1">
      <c r="A70" s="14" t="s">
        <v>4007</v>
      </c>
      <c r="B70" s="16" t="str">
        <f>IMAGE("https://lmztiles.s3.eu-west-1.amazonaws.com/Modern_Interiors_v41.3.4/1_Interiors/16x16/Theme_Sorter_Singles/19_Hospital_SIngles/Hospital_Singles_74.png")</f>
        <v/>
      </c>
    </row>
    <row r="71" ht="39.75" customHeight="1">
      <c r="A71" s="14" t="s">
        <v>4008</v>
      </c>
      <c r="B71" s="16" t="str">
        <f>IMAGE("https://lmztiles.s3.eu-west-1.amazonaws.com/Modern_Interiors_v41.3.4/1_Interiors/16x16/Theme_Sorter_Singles/19_Hospital_SIngles/Hospital_Singles_75.png")</f>
        <v/>
      </c>
    </row>
    <row r="72" ht="39.75" customHeight="1">
      <c r="A72" s="14" t="s">
        <v>4009</v>
      </c>
      <c r="B72" s="16" t="str">
        <f>IMAGE("https://lmztiles.s3.eu-west-1.amazonaws.com/Modern_Interiors_v41.3.4/1_Interiors/16x16/Theme_Sorter_Singles/19_Hospital_SIngles/Hospital_Singles_76.png")</f>
        <v/>
      </c>
    </row>
    <row r="73" ht="39.75" customHeight="1">
      <c r="A73" s="14" t="s">
        <v>4010</v>
      </c>
      <c r="B73" s="16" t="str">
        <f>IMAGE("https://lmztiles.s3.eu-west-1.amazonaws.com/Modern_Interiors_v41.3.4/1_Interiors/16x16/Theme_Sorter_Singles/19_Hospital_SIngles/Hospital_Singles_77.png")</f>
        <v/>
      </c>
    </row>
    <row r="74" ht="39.75" customHeight="1">
      <c r="A74" s="14" t="s">
        <v>4011</v>
      </c>
      <c r="B74" s="16" t="str">
        <f>IMAGE("https://lmztiles.s3.eu-west-1.amazonaws.com/Modern_Interiors_v41.3.4/1_Interiors/16x16/Theme_Sorter_Singles/19_Hospital_SIngles/Hospital_Singles_78.png")</f>
        <v/>
      </c>
    </row>
    <row r="75" ht="39.75" customHeight="1">
      <c r="A75" s="14" t="s">
        <v>4012</v>
      </c>
      <c r="B75" s="16" t="str">
        <f>IMAGE("https://lmztiles.s3.eu-west-1.amazonaws.com/Modern_Interiors_v41.3.4/1_Interiors/16x16/Theme_Sorter_Singles/19_Hospital_SIngles/Hospital_Singles_79.png")</f>
        <v/>
      </c>
    </row>
    <row r="76" ht="39.75" customHeight="1">
      <c r="A76" s="14" t="s">
        <v>4013</v>
      </c>
      <c r="B76" s="16" t="str">
        <f>IMAGE("https://lmztiles.s3.eu-west-1.amazonaws.com/Modern_Interiors_v41.3.4/1_Interiors/16x16/Theme_Sorter_Singles/19_Hospital_SIngles/Hospital_Singles_80.png")</f>
        <v/>
      </c>
    </row>
    <row r="77" ht="39.75" customHeight="1">
      <c r="A77" s="14" t="s">
        <v>4014</v>
      </c>
      <c r="B77" s="16" t="str">
        <f>IMAGE("https://lmztiles.s3.eu-west-1.amazonaws.com/Modern_Interiors_v41.3.4/1_Interiors/16x16/Theme_Sorter_Singles/19_Hospital_SIngles/Hospital_Singles_81.png")</f>
        <v/>
      </c>
    </row>
    <row r="78" ht="39.75" customHeight="1">
      <c r="A78" s="14" t="s">
        <v>4015</v>
      </c>
      <c r="B78" s="16" t="str">
        <f>IMAGE("https://lmztiles.s3.eu-west-1.amazonaws.com/Modern_Interiors_v41.3.4/1_Interiors/16x16/Theme_Sorter_Singles/19_Hospital_SIngles/Hospital_Singles_82.png")</f>
        <v/>
      </c>
    </row>
    <row r="79" ht="39.75" customHeight="1">
      <c r="A79" s="14" t="s">
        <v>4016</v>
      </c>
      <c r="B79" s="16" t="str">
        <f>IMAGE("https://lmztiles.s3.eu-west-1.amazonaws.com/Modern_Interiors_v41.3.4/1_Interiors/16x16/Theme_Sorter_Singles/19_Hospital_SIngles/Hospital_Singles_83.png")</f>
        <v/>
      </c>
    </row>
    <row r="80" ht="39.75" customHeight="1">
      <c r="A80" s="14" t="s">
        <v>4017</v>
      </c>
      <c r="B80" s="16" t="str">
        <f>IMAGE("https://lmztiles.s3.eu-west-1.amazonaws.com/Modern_Interiors_v41.3.4/1_Interiors/16x16/Theme_Sorter_Singles/19_Hospital_SIngles/Hospital_Singles_84.png")</f>
        <v/>
      </c>
    </row>
    <row r="81" ht="39.75" customHeight="1">
      <c r="A81" s="14" t="s">
        <v>4018</v>
      </c>
      <c r="B81" s="16" t="str">
        <f>IMAGE("https://lmztiles.s3.eu-west-1.amazonaws.com/Modern_Interiors_v41.3.4/1_Interiors/16x16/Theme_Sorter_Singles/19_Hospital_SIngles/Hospital_Singles_85.png")</f>
        <v/>
      </c>
    </row>
    <row r="82" ht="39.75" customHeight="1">
      <c r="A82" s="14" t="s">
        <v>4019</v>
      </c>
      <c r="B82" s="16" t="str">
        <f>IMAGE("https://lmztiles.s3.eu-west-1.amazonaws.com/Modern_Interiors_v41.3.4/1_Interiors/16x16/Theme_Sorter_Singles/19_Hospital_SIngles/Hospital_Singles_86.png")</f>
        <v/>
      </c>
    </row>
    <row r="83" ht="39.75" customHeight="1">
      <c r="A83" s="14" t="s">
        <v>4020</v>
      </c>
      <c r="B83" s="16" t="str">
        <f>IMAGE("https://lmztiles.s3.eu-west-1.amazonaws.com/Modern_Interiors_v41.3.4/1_Interiors/16x16/Theme_Sorter_Singles/19_Hospital_SIngles/Hospital_Singles_87.png")</f>
        <v/>
      </c>
    </row>
    <row r="84" ht="39.75" customHeight="1">
      <c r="A84" s="14" t="s">
        <v>4021</v>
      </c>
      <c r="B84" s="16" t="str">
        <f>IMAGE("https://lmztiles.s3.eu-west-1.amazonaws.com/Modern_Interiors_v41.3.4/1_Interiors/16x16/Theme_Sorter_Singles/19_Hospital_SIngles/Hospital_Singles_88.png")</f>
        <v/>
      </c>
    </row>
    <row r="85" ht="39.75" customHeight="1">
      <c r="A85" s="14" t="s">
        <v>4022</v>
      </c>
      <c r="B85" s="16" t="str">
        <f>IMAGE("https://lmztiles.s3.eu-west-1.amazonaws.com/Modern_Interiors_v41.3.4/1_Interiors/16x16/Theme_Sorter_Singles/19_Hospital_SIngles/Hospital_Singles_89.png")</f>
        <v/>
      </c>
    </row>
    <row r="86" ht="39.75" customHeight="1">
      <c r="A86" s="14" t="s">
        <v>4023</v>
      </c>
      <c r="B86" s="16" t="str">
        <f>IMAGE("https://lmztiles.s3.eu-west-1.amazonaws.com/Modern_Interiors_v41.3.4/1_Interiors/16x16/Theme_Sorter_Singles/19_Hospital_SIngles/Hospital_Singles_90.png")</f>
        <v/>
      </c>
    </row>
    <row r="87" ht="39.75" customHeight="1">
      <c r="A87" s="14" t="s">
        <v>4024</v>
      </c>
      <c r="B87" s="16" t="str">
        <f>IMAGE("https://lmztiles.s3.eu-west-1.amazonaws.com/Modern_Interiors_v41.3.4/1_Interiors/16x16/Theme_Sorter_Singles/19_Hospital_SIngles/Hospital_Singles_91.png")</f>
        <v/>
      </c>
    </row>
    <row r="88" ht="39.75" customHeight="1">
      <c r="A88" s="14" t="s">
        <v>4025</v>
      </c>
      <c r="B88" s="16" t="str">
        <f>IMAGE("https://lmztiles.s3.eu-west-1.amazonaws.com/Modern_Interiors_v41.3.4/1_Interiors/16x16/Theme_Sorter_Singles/19_Hospital_SIngles/Hospital_Singles_92.png")</f>
        <v/>
      </c>
    </row>
    <row r="89" ht="39.75" customHeight="1">
      <c r="A89" s="14" t="s">
        <v>4026</v>
      </c>
      <c r="B89" s="16" t="str">
        <f>IMAGE("https://lmztiles.s3.eu-west-1.amazonaws.com/Modern_Interiors_v41.3.4/1_Interiors/16x16/Theme_Sorter_Singles/19_Hospital_SIngles/Hospital_Singles_93.png")</f>
        <v/>
      </c>
    </row>
    <row r="90" ht="39.75" customHeight="1">
      <c r="A90" s="14" t="s">
        <v>4027</v>
      </c>
      <c r="B90" s="16" t="str">
        <f>IMAGE("https://lmztiles.s3.eu-west-1.amazonaws.com/Modern_Interiors_v41.3.4/1_Interiors/16x16/Theme_Sorter_Singles/19_Hospital_SIngles/Hospital_Singles_94.png")</f>
        <v/>
      </c>
    </row>
    <row r="91" ht="39.75" customHeight="1">
      <c r="A91" s="14" t="s">
        <v>4028</v>
      </c>
      <c r="B91" s="16" t="str">
        <f>IMAGE("https://lmztiles.s3.eu-west-1.amazonaws.com/Modern_Interiors_v41.3.4/1_Interiors/16x16/Theme_Sorter_Singles/19_Hospital_SIngles/Hospital_Singles_95.png")</f>
        <v/>
      </c>
    </row>
    <row r="92" ht="39.75" customHeight="1">
      <c r="A92" s="14" t="s">
        <v>4029</v>
      </c>
      <c r="B92" s="16" t="str">
        <f>IMAGE("https://lmztiles.s3.eu-west-1.amazonaws.com/Modern_Interiors_v41.3.4/1_Interiors/16x16/Theme_Sorter_Singles/19_Hospital_SIngles/Hospital_Singles_96.png")</f>
        <v/>
      </c>
    </row>
    <row r="93" ht="39.75" customHeight="1">
      <c r="A93" s="14" t="s">
        <v>4030</v>
      </c>
      <c r="B93" s="16" t="str">
        <f>IMAGE("https://lmztiles.s3.eu-west-1.amazonaws.com/Modern_Interiors_v41.3.4/1_Interiors/16x16/Theme_Sorter_Singles/19_Hospital_SIngles/Hospital_Singles_97.png")</f>
        <v/>
      </c>
    </row>
    <row r="94" ht="39.75" customHeight="1">
      <c r="A94" s="14" t="s">
        <v>4031</v>
      </c>
      <c r="B94" s="16" t="str">
        <f>IMAGE("https://lmztiles.s3.eu-west-1.amazonaws.com/Modern_Interiors_v41.3.4/1_Interiors/16x16/Theme_Sorter_Singles/19_Hospital_SIngles/Hospital_Singles_98.png")</f>
        <v/>
      </c>
    </row>
    <row r="95" ht="39.75" customHeight="1">
      <c r="A95" s="14" t="s">
        <v>4032</v>
      </c>
      <c r="B95" s="16" t="str">
        <f>IMAGE("https://lmztiles.s3.eu-west-1.amazonaws.com/Modern_Interiors_v41.3.4/1_Interiors/16x16/Theme_Sorter_Singles/19_Hospital_SIngles/Hospital_Singles_99.png")</f>
        <v/>
      </c>
    </row>
    <row r="96" ht="39.75" customHeight="1">
      <c r="A96" s="14" t="s">
        <v>4033</v>
      </c>
      <c r="B96" s="16" t="str">
        <f>IMAGE("https://lmztiles.s3.eu-west-1.amazonaws.com/Modern_Interiors_v41.3.4/1_Interiors/16x16/Theme_Sorter_Singles/19_Hospital_SIngles/Hospital_Singles_100.png")</f>
        <v/>
      </c>
    </row>
    <row r="97" ht="39.75" customHeight="1">
      <c r="A97" s="14" t="s">
        <v>4034</v>
      </c>
      <c r="B97" s="16" t="str">
        <f>IMAGE("https://lmztiles.s3.eu-west-1.amazonaws.com/Modern_Interiors_v41.3.4/1_Interiors/16x16/Theme_Sorter_Singles/19_Hospital_SIngles/Hospital_Singles_101.png")</f>
        <v/>
      </c>
    </row>
    <row r="98" ht="39.75" customHeight="1">
      <c r="A98" s="14" t="s">
        <v>4035</v>
      </c>
      <c r="B98" s="16" t="str">
        <f>IMAGE("https://lmztiles.s3.eu-west-1.amazonaws.com/Modern_Interiors_v41.3.4/1_Interiors/16x16/Theme_Sorter_Singles/19_Hospital_SIngles/Hospital_Singles_102.png")</f>
        <v/>
      </c>
    </row>
    <row r="99" ht="39.75" customHeight="1">
      <c r="A99" s="14" t="s">
        <v>4036</v>
      </c>
      <c r="B99" s="16" t="str">
        <f>IMAGE("https://lmztiles.s3.eu-west-1.amazonaws.com/Modern_Interiors_v41.3.4/1_Interiors/16x16/Theme_Sorter_Singles/19_Hospital_SIngles/Hospital_Singles_103.png")</f>
        <v/>
      </c>
    </row>
    <row r="100" ht="39.75" customHeight="1">
      <c r="A100" s="14" t="s">
        <v>4037</v>
      </c>
      <c r="B100" s="16" t="str">
        <f>IMAGE("https://lmztiles.s3.eu-west-1.amazonaws.com/Modern_Interiors_v41.3.4/1_Interiors/16x16/Theme_Sorter_Singles/19_Hospital_SIngles/Hospital_Singles_104.png")</f>
        <v/>
      </c>
    </row>
    <row r="101" ht="39.75" customHeight="1">
      <c r="A101" s="14" t="s">
        <v>4038</v>
      </c>
      <c r="B101" s="16" t="str">
        <f>IMAGE("https://lmztiles.s3.eu-west-1.amazonaws.com/Modern_Interiors_v41.3.4/1_Interiors/16x16/Theme_Sorter_Singles/19_Hospital_SIngles/Hospital_Singles_105.png")</f>
        <v/>
      </c>
    </row>
    <row r="102" ht="39.75" customHeight="1">
      <c r="A102" s="14" t="s">
        <v>4039</v>
      </c>
      <c r="B102" s="16" t="str">
        <f>IMAGE("https://lmztiles.s3.eu-west-1.amazonaws.com/Modern_Interiors_v41.3.4/1_Interiors/16x16/Theme_Sorter_Singles/19_Hospital_SIngles/Hospital_Singles_106.png")</f>
        <v/>
      </c>
    </row>
    <row r="103" ht="39.75" customHeight="1">
      <c r="A103" s="14" t="s">
        <v>4040</v>
      </c>
      <c r="B103" s="16" t="str">
        <f>IMAGE("https://lmztiles.s3.eu-west-1.amazonaws.com/Modern_Interiors_v41.3.4/1_Interiors/16x16/Theme_Sorter_Singles/19_Hospital_SIngles/Hospital_Singles_107.png")</f>
        <v/>
      </c>
    </row>
    <row r="104" ht="39.75" customHeight="1">
      <c r="A104" s="14" t="s">
        <v>4041</v>
      </c>
      <c r="B104" s="16" t="str">
        <f>IMAGE("https://lmztiles.s3.eu-west-1.amazonaws.com/Modern_Interiors_v41.3.4/1_Interiors/16x16/Theme_Sorter_Singles/19_Hospital_SIngles/Hospital_Singles_108.png")</f>
        <v/>
      </c>
    </row>
    <row r="105" ht="39.75" customHeight="1">
      <c r="A105" s="14" t="s">
        <v>4042</v>
      </c>
      <c r="B105" s="16" t="str">
        <f>IMAGE("https://lmztiles.s3.eu-west-1.amazonaws.com/Modern_Interiors_v41.3.4/1_Interiors/16x16/Theme_Sorter_Singles/19_Hospital_SIngles/Hospital_Singles_109.png")</f>
        <v/>
      </c>
    </row>
    <row r="106" ht="39.75" customHeight="1">
      <c r="A106" s="14" t="s">
        <v>4043</v>
      </c>
      <c r="B106" s="16" t="str">
        <f>IMAGE("https://lmztiles.s3.eu-west-1.amazonaws.com/Modern_Interiors_v41.3.4/1_Interiors/16x16/Theme_Sorter_Singles/19_Hospital_SIngles/Hospital_Singles_110.png")</f>
        <v/>
      </c>
    </row>
    <row r="107" ht="39.75" customHeight="1">
      <c r="A107" s="14" t="s">
        <v>4044</v>
      </c>
      <c r="B107" s="16" t="str">
        <f>IMAGE("https://lmztiles.s3.eu-west-1.amazonaws.com/Modern_Interiors_v41.3.4/1_Interiors/16x16/Theme_Sorter_Singles/19_Hospital_SIngles/Hospital_Singles_111.png")</f>
        <v/>
      </c>
    </row>
    <row r="108" ht="39.75" customHeight="1">
      <c r="A108" s="14" t="s">
        <v>4045</v>
      </c>
      <c r="B108" s="16" t="str">
        <f>IMAGE("https://lmztiles.s3.eu-west-1.amazonaws.com/Modern_Interiors_v41.3.4/1_Interiors/16x16/Theme_Sorter_Singles/19_Hospital_SIngles/Hospital_Singles_112.png")</f>
        <v/>
      </c>
    </row>
    <row r="109" ht="39.75" customHeight="1">
      <c r="A109" s="14" t="s">
        <v>4046</v>
      </c>
      <c r="B109" s="16" t="str">
        <f>IMAGE("https://lmztiles.s3.eu-west-1.amazonaws.com/Modern_Interiors_v41.3.4/1_Interiors/16x16/Theme_Sorter_Singles/19_Hospital_SIngles/Hospital_Singles_113.png")</f>
        <v/>
      </c>
    </row>
    <row r="110" ht="39.75" customHeight="1">
      <c r="A110" s="14" t="s">
        <v>4047</v>
      </c>
      <c r="B110" s="16" t="str">
        <f>IMAGE("https://lmztiles.s3.eu-west-1.amazonaws.com/Modern_Interiors_v41.3.4/1_Interiors/16x16/Theme_Sorter_Singles/19_Hospital_SIngles/Hospital_Singles_114.png")</f>
        <v/>
      </c>
    </row>
    <row r="111" ht="39.75" customHeight="1">
      <c r="A111" s="14" t="s">
        <v>4048</v>
      </c>
      <c r="B111" s="16" t="str">
        <f>IMAGE("https://lmztiles.s3.eu-west-1.amazonaws.com/Modern_Interiors_v41.3.4/1_Interiors/16x16/Theme_Sorter_Singles/19_Hospital_SIngles/Hospital_Singles_115.png")</f>
        <v/>
      </c>
    </row>
    <row r="112" ht="39.75" customHeight="1">
      <c r="A112" s="14" t="s">
        <v>4049</v>
      </c>
      <c r="B112" s="16" t="str">
        <f>IMAGE("https://lmztiles.s3.eu-west-1.amazonaws.com/Modern_Interiors_v41.3.4/1_Interiors/16x16/Theme_Sorter_Singles/19_Hospital_SIngles/Hospital_Singles_116.png")</f>
        <v/>
      </c>
    </row>
    <row r="113" ht="39.75" customHeight="1">
      <c r="A113" s="14" t="s">
        <v>4050</v>
      </c>
      <c r="B113" s="16" t="str">
        <f>IMAGE("https://lmztiles.s3.eu-west-1.amazonaws.com/Modern_Interiors_v41.3.4/1_Interiors/16x16/Theme_Sorter_Singles/19_Hospital_SIngles/Hospital_Singles_117.png")</f>
        <v/>
      </c>
    </row>
    <row r="114" ht="39.75" customHeight="1">
      <c r="A114" s="14" t="s">
        <v>4051</v>
      </c>
      <c r="B114" s="16" t="str">
        <f>IMAGE("https://lmztiles.s3.eu-west-1.amazonaws.com/Modern_Interiors_v41.3.4/1_Interiors/16x16/Theme_Sorter_Singles/19_Hospital_SIngles/Hospital_Singles_118.png")</f>
        <v/>
      </c>
    </row>
    <row r="115" ht="39.75" customHeight="1">
      <c r="A115" s="14" t="s">
        <v>4052</v>
      </c>
      <c r="B115" s="16" t="str">
        <f>IMAGE("https://lmztiles.s3.eu-west-1.amazonaws.com/Modern_Interiors_v41.3.4/1_Interiors/16x16/Theme_Sorter_Singles/19_Hospital_SIngles/Hospital_Singles_119.png")</f>
        <v/>
      </c>
    </row>
    <row r="116" ht="39.75" customHeight="1">
      <c r="A116" s="14" t="s">
        <v>4053</v>
      </c>
      <c r="B116" s="16" t="str">
        <f>IMAGE("https://lmztiles.s3.eu-west-1.amazonaws.com/Modern_Interiors_v41.3.4/1_Interiors/16x16/Theme_Sorter_Singles/19_Hospital_SIngles/Hospital_Singles_120.png")</f>
        <v/>
      </c>
    </row>
    <row r="117" ht="39.75" customHeight="1">
      <c r="A117" s="14" t="s">
        <v>4054</v>
      </c>
      <c r="B117" s="16" t="str">
        <f>IMAGE("https://lmztiles.s3.eu-west-1.amazonaws.com/Modern_Interiors_v41.3.4/1_Interiors/16x16/Theme_Sorter_Singles/19_Hospital_SIngles/Hospital_Singles_121.png")</f>
        <v/>
      </c>
    </row>
    <row r="118" ht="39.75" customHeight="1">
      <c r="A118" s="14" t="s">
        <v>4055</v>
      </c>
      <c r="B118" s="16" t="str">
        <f>IMAGE("https://lmztiles.s3.eu-west-1.amazonaws.com/Modern_Interiors_v41.3.4/1_Interiors/16x16/Theme_Sorter_Singles/19_Hospital_SIngles/Hospital_Singles_122.png")</f>
        <v/>
      </c>
    </row>
    <row r="119" ht="39.75" customHeight="1">
      <c r="A119" s="14" t="s">
        <v>4056</v>
      </c>
      <c r="B119" s="16" t="str">
        <f>IMAGE("https://lmztiles.s3.eu-west-1.amazonaws.com/Modern_Interiors_v41.3.4/1_Interiors/16x16/Theme_Sorter_Singles/19_Hospital_SIngles/Hospital_Singles_123.png")</f>
        <v/>
      </c>
    </row>
    <row r="120" ht="39.75" customHeight="1">
      <c r="A120" s="14" t="s">
        <v>4057</v>
      </c>
      <c r="B120" s="16" t="str">
        <f>IMAGE("https://lmztiles.s3.eu-west-1.amazonaws.com/Modern_Interiors_v41.3.4/1_Interiors/16x16/Theme_Sorter_Singles/19_Hospital_SIngles/Hospital_Singles_124.png")</f>
        <v/>
      </c>
    </row>
    <row r="121" ht="39.75" customHeight="1">
      <c r="A121" s="14" t="s">
        <v>4058</v>
      </c>
      <c r="B121" s="16" t="str">
        <f>IMAGE("https://lmztiles.s3.eu-west-1.amazonaws.com/Modern_Interiors_v41.3.4/1_Interiors/16x16/Theme_Sorter_Singles/19_Hospital_SIngles/Hospital_Singles_125.png")</f>
        <v/>
      </c>
    </row>
    <row r="122" ht="39.75" customHeight="1">
      <c r="A122" s="14" t="s">
        <v>4059</v>
      </c>
      <c r="B122" s="16" t="str">
        <f>IMAGE("https://lmztiles.s3.eu-west-1.amazonaws.com/Modern_Interiors_v41.3.4/1_Interiors/16x16/Theme_Sorter_Singles/19_Hospital_SIngles/Hospital_Singles_126.png")</f>
        <v/>
      </c>
    </row>
    <row r="123" ht="39.75" customHeight="1">
      <c r="A123" s="14" t="s">
        <v>4060</v>
      </c>
      <c r="B123" s="16" t="str">
        <f>IMAGE("https://lmztiles.s3.eu-west-1.amazonaws.com/Modern_Interiors_v41.3.4/1_Interiors/16x16/Theme_Sorter_Singles/19_Hospital_SIngles/Hospital_Singles_127.png")</f>
        <v/>
      </c>
    </row>
    <row r="124" ht="39.75" customHeight="1">
      <c r="A124" s="14" t="s">
        <v>4061</v>
      </c>
      <c r="B124" s="16" t="str">
        <f>IMAGE("https://lmztiles.s3.eu-west-1.amazonaws.com/Modern_Interiors_v41.3.4/1_Interiors/16x16/Theme_Sorter_Singles/19_Hospital_SIngles/Hospital_Singles_128.png")</f>
        <v/>
      </c>
    </row>
    <row r="125" ht="39.75" customHeight="1">
      <c r="A125" s="14" t="s">
        <v>4062</v>
      </c>
      <c r="B125" s="16" t="str">
        <f>IMAGE("https://lmztiles.s3.eu-west-1.amazonaws.com/Modern_Interiors_v41.3.4/1_Interiors/16x16/Theme_Sorter_Singles/19_Hospital_SIngles/Hospital_Singles_129.png")</f>
        <v/>
      </c>
    </row>
    <row r="126" ht="39.75" customHeight="1">
      <c r="A126" s="14" t="s">
        <v>4063</v>
      </c>
      <c r="B126" s="16" t="str">
        <f>IMAGE("https://lmztiles.s3.eu-west-1.amazonaws.com/Modern_Interiors_v41.3.4/1_Interiors/16x16/Theme_Sorter_Singles/19_Hospital_SIngles/Hospital_Singles_130.png")</f>
        <v/>
      </c>
    </row>
    <row r="127" ht="39.75" customHeight="1">
      <c r="A127" s="14" t="s">
        <v>4064</v>
      </c>
      <c r="B127" s="16" t="str">
        <f>IMAGE("https://lmztiles.s3.eu-west-1.amazonaws.com/Modern_Interiors_v41.3.4/1_Interiors/16x16/Theme_Sorter_Singles/19_Hospital_SIngles/Hospital_Singles_131.png")</f>
        <v/>
      </c>
    </row>
    <row r="128" ht="39.75" customHeight="1">
      <c r="A128" s="14" t="s">
        <v>4065</v>
      </c>
      <c r="B128" s="16" t="str">
        <f>IMAGE("https://lmztiles.s3.eu-west-1.amazonaws.com/Modern_Interiors_v41.3.4/1_Interiors/16x16/Theme_Sorter_Singles/19_Hospital_SIngles/Hospital_Singles_132.png")</f>
        <v/>
      </c>
    </row>
    <row r="129" ht="39.75" customHeight="1">
      <c r="A129" s="14" t="s">
        <v>4066</v>
      </c>
      <c r="B129" s="16" t="str">
        <f>IMAGE("https://lmztiles.s3.eu-west-1.amazonaws.com/Modern_Interiors_v41.3.4/1_Interiors/16x16/Theme_Sorter_Singles/19_Hospital_SIngles/Hospital_Singles_133.png")</f>
        <v/>
      </c>
    </row>
    <row r="130" ht="39.75" customHeight="1">
      <c r="A130" s="14" t="s">
        <v>4067</v>
      </c>
      <c r="B130" s="16" t="str">
        <f>IMAGE("https://lmztiles.s3.eu-west-1.amazonaws.com/Modern_Interiors_v41.3.4/1_Interiors/16x16/Theme_Sorter_Singles/19_Hospital_SIngles/Hospital_Singles_134.png")</f>
        <v/>
      </c>
    </row>
    <row r="131" ht="39.75" customHeight="1">
      <c r="A131" s="14" t="s">
        <v>4068</v>
      </c>
      <c r="B131" s="16" t="str">
        <f>IMAGE("https://lmztiles.s3.eu-west-1.amazonaws.com/Modern_Interiors_v41.3.4/1_Interiors/16x16/Theme_Sorter_Singles/19_Hospital_SIngles/Hospital_Singles_135.png")</f>
        <v/>
      </c>
    </row>
    <row r="132" ht="39.75" customHeight="1">
      <c r="A132" s="14" t="s">
        <v>4069</v>
      </c>
      <c r="B132" s="16" t="str">
        <f>IMAGE("https://lmztiles.s3.eu-west-1.amazonaws.com/Modern_Interiors_v41.3.4/1_Interiors/16x16/Theme_Sorter_Singles/19_Hospital_SIngles/Hospital_Singles_136.png")</f>
        <v/>
      </c>
    </row>
    <row r="133" ht="39.75" customHeight="1">
      <c r="A133" s="14" t="s">
        <v>4070</v>
      </c>
      <c r="B133" s="16" t="str">
        <f>IMAGE("https://lmztiles.s3.eu-west-1.amazonaws.com/Modern_Interiors_v41.3.4/1_Interiors/16x16/Theme_Sorter_Singles/19_Hospital_SIngles/Hospital_Singles_137.png")</f>
        <v/>
      </c>
    </row>
    <row r="134" ht="39.75" customHeight="1">
      <c r="A134" s="14" t="s">
        <v>4071</v>
      </c>
      <c r="B134" s="16" t="str">
        <f>IMAGE("https://lmztiles.s3.eu-west-1.amazonaws.com/Modern_Interiors_v41.3.4/1_Interiors/16x16/Theme_Sorter_Singles/19_Hospital_SIngles/Hospital_Singles_138.png")</f>
        <v/>
      </c>
    </row>
    <row r="135" ht="39.75" customHeight="1">
      <c r="A135" s="14" t="s">
        <v>4072</v>
      </c>
      <c r="B135" s="16" t="str">
        <f>IMAGE("https://lmztiles.s3.eu-west-1.amazonaws.com/Modern_Interiors_v41.3.4/1_Interiors/16x16/Theme_Sorter_Singles/19_Hospital_SIngles/Hospital_Singles_139.png")</f>
        <v/>
      </c>
    </row>
    <row r="136" ht="39.75" customHeight="1">
      <c r="A136" s="14" t="s">
        <v>4073</v>
      </c>
      <c r="B136" s="16" t="str">
        <f>IMAGE("https://lmztiles.s3.eu-west-1.amazonaws.com/Modern_Interiors_v41.3.4/1_Interiors/16x16/Theme_Sorter_Singles/19_Hospital_SIngles/Hospital_Singles_140.png")</f>
        <v/>
      </c>
    </row>
    <row r="137" ht="39.75" customHeight="1">
      <c r="A137" s="14" t="s">
        <v>4074</v>
      </c>
      <c r="B137" s="16" t="str">
        <f>IMAGE("https://lmztiles.s3.eu-west-1.amazonaws.com/Modern_Interiors_v41.3.4/1_Interiors/16x16/Theme_Sorter_Singles/19_Hospital_SIngles/Hospital_Singles_141.png")</f>
        <v/>
      </c>
    </row>
    <row r="138" ht="39.75" customHeight="1">
      <c r="A138" s="14" t="s">
        <v>4075</v>
      </c>
      <c r="B138" s="16" t="str">
        <f>IMAGE("https://lmztiles.s3.eu-west-1.amazonaws.com/Modern_Interiors_v41.3.4/1_Interiors/16x16/Theme_Sorter_Singles/19_Hospital_SIngles/Hospital_Singles_142.png")</f>
        <v/>
      </c>
    </row>
    <row r="139" ht="39.75" customHeight="1">
      <c r="A139" s="14" t="s">
        <v>4076</v>
      </c>
      <c r="B139" s="16" t="str">
        <f>IMAGE("https://lmztiles.s3.eu-west-1.amazonaws.com/Modern_Interiors_v41.3.4/1_Interiors/16x16/Theme_Sorter_Singles/19_Hospital_SIngles/Hospital_Singles_143.png")</f>
        <v/>
      </c>
    </row>
    <row r="140" ht="39.75" customHeight="1">
      <c r="A140" s="14" t="s">
        <v>4077</v>
      </c>
      <c r="B140" s="16" t="str">
        <f>IMAGE("https://lmztiles.s3.eu-west-1.amazonaws.com/Modern_Interiors_v41.3.4/1_Interiors/16x16/Theme_Sorter_Singles/19_Hospital_SIngles/Hospital_Singles_144.png")</f>
        <v/>
      </c>
    </row>
    <row r="141" ht="39.75" customHeight="1">
      <c r="A141" s="14" t="s">
        <v>4078</v>
      </c>
      <c r="B141" s="16" t="str">
        <f>IMAGE("https://lmztiles.s3.eu-west-1.amazonaws.com/Modern_Interiors_v41.3.4/1_Interiors/16x16/Theme_Sorter_Singles/19_Hospital_SIngles/Hospital_Singles_145.png")</f>
        <v/>
      </c>
    </row>
    <row r="142" ht="39.75" customHeight="1">
      <c r="A142" s="14" t="s">
        <v>4079</v>
      </c>
      <c r="B142" s="16" t="str">
        <f>IMAGE("https://lmztiles.s3.eu-west-1.amazonaws.com/Modern_Interiors_v41.3.4/1_Interiors/16x16/Theme_Sorter_Singles/19_Hospital_SIngles/Hospital_Singles_146.png")</f>
        <v/>
      </c>
    </row>
    <row r="143" ht="39.75" customHeight="1">
      <c r="A143" s="14" t="s">
        <v>4080</v>
      </c>
      <c r="B143" s="16" t="str">
        <f>IMAGE("https://lmztiles.s3.eu-west-1.amazonaws.com/Modern_Interiors_v41.3.4/1_Interiors/16x16/Theme_Sorter_Singles/19_Hospital_SIngles/Hospital_Singles_147.png")</f>
        <v/>
      </c>
    </row>
    <row r="144" ht="39.75" customHeight="1">
      <c r="A144" s="14" t="s">
        <v>4081</v>
      </c>
      <c r="B144" s="16" t="str">
        <f>IMAGE("https://lmztiles.s3.eu-west-1.amazonaws.com/Modern_Interiors_v41.3.4/1_Interiors/16x16/Theme_Sorter_Singles/19_Hospital_SIngles/Hospital_Singles_148.png")</f>
        <v/>
      </c>
    </row>
    <row r="145" ht="39.75" customHeight="1">
      <c r="A145" s="14" t="s">
        <v>4082</v>
      </c>
      <c r="B145" s="16" t="str">
        <f>IMAGE("https://lmztiles.s3.eu-west-1.amazonaws.com/Modern_Interiors_v41.3.4/1_Interiors/16x16/Theme_Sorter_Singles/19_Hospital_SIngles/Hospital_Singles_149.png")</f>
        <v/>
      </c>
    </row>
    <row r="146" ht="39.75" customHeight="1">
      <c r="A146" s="14" t="s">
        <v>4083</v>
      </c>
      <c r="B146" s="16" t="str">
        <f>IMAGE("https://lmztiles.s3.eu-west-1.amazonaws.com/Modern_Interiors_v41.3.4/1_Interiors/16x16/Theme_Sorter_Singles/19_Hospital_SIngles/Hospital_Singles_150.png")</f>
        <v/>
      </c>
    </row>
    <row r="147" ht="39.75" customHeight="1">
      <c r="A147" s="14" t="s">
        <v>4084</v>
      </c>
      <c r="B147" s="16" t="str">
        <f>IMAGE("https://lmztiles.s3.eu-west-1.amazonaws.com/Modern_Interiors_v41.3.4/1_Interiors/16x16/Theme_Sorter_Singles/19_Hospital_SIngles/Hospital_Singles_151.png")</f>
        <v/>
      </c>
    </row>
    <row r="148" ht="39.75" customHeight="1">
      <c r="A148" s="14" t="s">
        <v>4085</v>
      </c>
      <c r="B148" s="16" t="str">
        <f>IMAGE("https://lmztiles.s3.eu-west-1.amazonaws.com/Modern_Interiors_v41.3.4/1_Interiors/16x16/Theme_Sorter_Singles/19_Hospital_SIngles/Hospital_Singles_152.png")</f>
        <v/>
      </c>
    </row>
    <row r="149" ht="39.75" customHeight="1">
      <c r="A149" s="14" t="s">
        <v>4086</v>
      </c>
      <c r="B149" s="16" t="str">
        <f>IMAGE("https://lmztiles.s3.eu-west-1.amazonaws.com/Modern_Interiors_v41.3.4/1_Interiors/16x16/Theme_Sorter_Singles/19_Hospital_SIngles/Hospital_Singles_153.png")</f>
        <v/>
      </c>
    </row>
    <row r="150" ht="39.75" customHeight="1">
      <c r="A150" s="14" t="s">
        <v>4087</v>
      </c>
      <c r="B150" s="16" t="str">
        <f>IMAGE("https://lmztiles.s3.eu-west-1.amazonaws.com/Modern_Interiors_v41.3.4/1_Interiors/16x16/Theme_Sorter_Singles/19_Hospital_SIngles/Hospital_Singles_154.png")</f>
        <v/>
      </c>
    </row>
    <row r="151" ht="39.75" customHeight="1">
      <c r="A151" s="14" t="s">
        <v>4088</v>
      </c>
      <c r="B151" s="16" t="str">
        <f>IMAGE("https://lmztiles.s3.eu-west-1.amazonaws.com/Modern_Interiors_v41.3.4/1_Interiors/16x16/Theme_Sorter_Singles/19_Hospital_SIngles/Hospital_Singles_155.png")</f>
        <v/>
      </c>
    </row>
    <row r="152" ht="39.75" customHeight="1">
      <c r="A152" s="14" t="s">
        <v>4089</v>
      </c>
      <c r="B152" s="16" t="str">
        <f>IMAGE("https://lmztiles.s3.eu-west-1.amazonaws.com/Modern_Interiors_v41.3.4/1_Interiors/16x16/Theme_Sorter_Singles/19_Hospital_SIngles/Hospital_Singles_156.png")</f>
        <v/>
      </c>
    </row>
    <row r="153" ht="39.75" customHeight="1">
      <c r="A153" s="14" t="s">
        <v>4090</v>
      </c>
      <c r="B153" s="16" t="str">
        <f>IMAGE("https://lmztiles.s3.eu-west-1.amazonaws.com/Modern_Interiors_v41.3.4/1_Interiors/16x16/Theme_Sorter_Singles/19_Hospital_SIngles/Hospital_Singles_157.png")</f>
        <v/>
      </c>
    </row>
    <row r="154" ht="39.75" customHeight="1">
      <c r="A154" s="14" t="s">
        <v>4091</v>
      </c>
      <c r="B154" s="16" t="str">
        <f>IMAGE("https://lmztiles.s3.eu-west-1.amazonaws.com/Modern_Interiors_v41.3.4/1_Interiors/16x16/Theme_Sorter_Singles/19_Hospital_SIngles/Hospital_Singles_158.png")</f>
        <v/>
      </c>
    </row>
    <row r="155" ht="39.75" customHeight="1">
      <c r="A155" s="14" t="s">
        <v>4092</v>
      </c>
      <c r="B155" s="16" t="str">
        <f>IMAGE("https://lmztiles.s3.eu-west-1.amazonaws.com/Modern_Interiors_v41.3.4/1_Interiors/16x16/Theme_Sorter_Singles/19_Hospital_SIngles/Hospital_Singles_159.png")</f>
        <v/>
      </c>
    </row>
    <row r="156" ht="39.75" customHeight="1">
      <c r="A156" s="14" t="s">
        <v>4093</v>
      </c>
      <c r="B156" s="16" t="str">
        <f>IMAGE("https://lmztiles.s3.eu-west-1.amazonaws.com/Modern_Interiors_v41.3.4/1_Interiors/16x16/Theme_Sorter_Singles/19_Hospital_SIngles/Hospital_Singles_160.png")</f>
        <v/>
      </c>
    </row>
    <row r="157" ht="39.75" customHeight="1">
      <c r="A157" s="14" t="s">
        <v>4094</v>
      </c>
      <c r="B157" s="16" t="str">
        <f>IMAGE("https://lmztiles.s3.eu-west-1.amazonaws.com/Modern_Interiors_v41.3.4/1_Interiors/16x16/Theme_Sorter_Singles/19_Hospital_SIngles/Hospital_Singles_161.png")</f>
        <v/>
      </c>
    </row>
    <row r="158" ht="39.75" customHeight="1">
      <c r="A158" s="14" t="s">
        <v>4095</v>
      </c>
      <c r="B158" s="16" t="str">
        <f>IMAGE("https://lmztiles.s3.eu-west-1.amazonaws.com/Modern_Interiors_v41.3.4/1_Interiors/16x16/Theme_Sorter_Singles/19_Hospital_SIngles/Hospital_Singles_162.png")</f>
        <v/>
      </c>
    </row>
    <row r="159" ht="39.75" customHeight="1">
      <c r="A159" s="14" t="s">
        <v>4096</v>
      </c>
      <c r="B159" s="16" t="str">
        <f>IMAGE("https://lmztiles.s3.eu-west-1.amazonaws.com/Modern_Interiors_v41.3.4/1_Interiors/16x16/Theme_Sorter_Singles/19_Hospital_SIngles/Hospital_Singles_163.png")</f>
        <v/>
      </c>
    </row>
    <row r="160" ht="39.75" customHeight="1">
      <c r="A160" s="14" t="s">
        <v>4097</v>
      </c>
      <c r="B160" s="16" t="str">
        <f>IMAGE("https://lmztiles.s3.eu-west-1.amazonaws.com/Modern_Interiors_v41.3.4/1_Interiors/16x16/Theme_Sorter_Singles/19_Hospital_SIngles/Hospital_Singles_164.png")</f>
        <v/>
      </c>
    </row>
    <row r="161" ht="39.75" customHeight="1">
      <c r="A161" s="14" t="s">
        <v>4098</v>
      </c>
      <c r="B161" s="16" t="str">
        <f>IMAGE("https://lmztiles.s3.eu-west-1.amazonaws.com/Modern_Interiors_v41.3.4/1_Interiors/16x16/Theme_Sorter_Singles/19_Hospital_SIngles/Hospital_Singles_165.png")</f>
        <v/>
      </c>
    </row>
    <row r="162" ht="39.75" customHeight="1">
      <c r="A162" s="14" t="s">
        <v>4099</v>
      </c>
      <c r="B162" s="16" t="str">
        <f>IMAGE("https://lmztiles.s3.eu-west-1.amazonaws.com/Modern_Interiors_v41.3.4/1_Interiors/16x16/Theme_Sorter_Singles/19_Hospital_SIngles/Hospital_Singles_166.png")</f>
        <v/>
      </c>
    </row>
    <row r="163" ht="39.75" customHeight="1">
      <c r="A163" s="14" t="s">
        <v>4100</v>
      </c>
      <c r="B163" s="16" t="str">
        <f>IMAGE("https://lmztiles.s3.eu-west-1.amazonaws.com/Modern_Interiors_v41.3.4/1_Interiors/16x16/Theme_Sorter_Singles/19_Hospital_SIngles/Hospital_Singles_167.png")</f>
        <v/>
      </c>
    </row>
    <row r="164" ht="39.75" customHeight="1">
      <c r="A164" s="14" t="s">
        <v>4101</v>
      </c>
      <c r="B164" s="16" t="str">
        <f>IMAGE("https://lmztiles.s3.eu-west-1.amazonaws.com/Modern_Interiors_v41.3.4/1_Interiors/16x16/Theme_Sorter_Singles/19_Hospital_SIngles/Hospital_Singles_168.png")</f>
        <v/>
      </c>
    </row>
    <row r="165" ht="39.75" customHeight="1">
      <c r="A165" s="14" t="s">
        <v>4102</v>
      </c>
      <c r="B165" s="16" t="str">
        <f>IMAGE("https://lmztiles.s3.eu-west-1.amazonaws.com/Modern_Interiors_v41.3.4/1_Interiors/16x16/Theme_Sorter_Singles/19_Hospital_SIngles/Hospital_Singles_169.png")</f>
        <v/>
      </c>
    </row>
    <row r="166" ht="39.75" customHeight="1">
      <c r="A166" s="14" t="s">
        <v>4103</v>
      </c>
      <c r="B166" s="16" t="str">
        <f>IMAGE("https://lmztiles.s3.eu-west-1.amazonaws.com/Modern_Interiors_v41.3.4/1_Interiors/16x16/Theme_Sorter_Singles/19_Hospital_SIngles/Hospital_Singles_170.png")</f>
        <v/>
      </c>
    </row>
    <row r="167" ht="39.75" customHeight="1">
      <c r="A167" s="14" t="s">
        <v>4104</v>
      </c>
      <c r="B167" s="16" t="str">
        <f>IMAGE("https://lmztiles.s3.eu-west-1.amazonaws.com/Modern_Interiors_v41.3.4/1_Interiors/16x16/Theme_Sorter_Singles/19_Hospital_SIngles/Hospital_Singles_171.png")</f>
        <v/>
      </c>
    </row>
    <row r="168" ht="39.75" customHeight="1">
      <c r="A168" s="14" t="s">
        <v>4105</v>
      </c>
      <c r="B168" s="16" t="str">
        <f>IMAGE("https://lmztiles.s3.eu-west-1.amazonaws.com/Modern_Interiors_v41.3.4/1_Interiors/16x16/Theme_Sorter_Singles/19_Hospital_SIngles/Hospital_Singles_172.png")</f>
        <v/>
      </c>
    </row>
    <row r="169" ht="39.75" customHeight="1">
      <c r="A169" s="14" t="s">
        <v>4106</v>
      </c>
      <c r="B169" s="16" t="str">
        <f>IMAGE("https://lmztiles.s3.eu-west-1.amazonaws.com/Modern_Interiors_v41.3.4/1_Interiors/16x16/Theme_Sorter_Singles/19_Hospital_SIngles/Hospital_Singles_173.png")</f>
        <v/>
      </c>
    </row>
    <row r="170" ht="39.75" customHeight="1">
      <c r="A170" s="14" t="s">
        <v>4107</v>
      </c>
      <c r="B170" s="16" t="str">
        <f>IMAGE("https://lmztiles.s3.eu-west-1.amazonaws.com/Modern_Interiors_v41.3.4/1_Interiors/16x16/Theme_Sorter_Singles/19_Hospital_SIngles/Hospital_Singles_174.png")</f>
        <v/>
      </c>
    </row>
    <row r="171" ht="39.75" customHeight="1">
      <c r="A171" s="14" t="s">
        <v>4108</v>
      </c>
      <c r="B171" s="16" t="str">
        <f>IMAGE("https://lmztiles.s3.eu-west-1.amazonaws.com/Modern_Interiors_v41.3.4/1_Interiors/16x16/Theme_Sorter_Singles/19_Hospital_SIngles/Hospital_Singles_175.png")</f>
        <v/>
      </c>
    </row>
    <row r="172" ht="39.75" customHeight="1">
      <c r="A172" s="14" t="s">
        <v>4109</v>
      </c>
      <c r="B172" s="16" t="str">
        <f>IMAGE("https://lmztiles.s3.eu-west-1.amazonaws.com/Modern_Interiors_v41.3.4/1_Interiors/16x16/Theme_Sorter_Singles/19_Hospital_SIngles/Hospital_Singles_176.png")</f>
        <v/>
      </c>
    </row>
    <row r="173" ht="39.75" customHeight="1">
      <c r="A173" s="14" t="s">
        <v>4110</v>
      </c>
      <c r="B173" s="16" t="str">
        <f>IMAGE("https://lmztiles.s3.eu-west-1.amazonaws.com/Modern_Interiors_v41.3.4/1_Interiors/16x16/Theme_Sorter_Singles/19_Hospital_SIngles/Hospital_Singles_177.png")</f>
        <v/>
      </c>
    </row>
    <row r="174" ht="39.75" customHeight="1">
      <c r="A174" s="14" t="s">
        <v>4111</v>
      </c>
      <c r="B174" s="16" t="str">
        <f>IMAGE("https://lmztiles.s3.eu-west-1.amazonaws.com/Modern_Interiors_v41.3.4/1_Interiors/16x16/Theme_Sorter_Singles/19_Hospital_SIngles/Hospital_Singles_178.png")</f>
        <v/>
      </c>
    </row>
    <row r="175" ht="39.75" customHeight="1">
      <c r="A175" s="14" t="s">
        <v>4112</v>
      </c>
      <c r="B175" s="16" t="str">
        <f>IMAGE("https://lmztiles.s3.eu-west-1.amazonaws.com/Modern_Interiors_v41.3.4/1_Interiors/16x16/Theme_Sorter_Singles/19_Hospital_SIngles/Hospital_Singles_179.png")</f>
        <v/>
      </c>
    </row>
    <row r="176" ht="39.75" customHeight="1">
      <c r="A176" s="14" t="s">
        <v>4113</v>
      </c>
      <c r="B176" s="16" t="str">
        <f>IMAGE("https://lmztiles.s3.eu-west-1.amazonaws.com/Modern_Interiors_v41.3.4/1_Interiors/16x16/Theme_Sorter_Singles/19_Hospital_SIngles/Hospital_Singles_180.png")</f>
        <v/>
      </c>
    </row>
    <row r="177" ht="39.75" customHeight="1">
      <c r="A177" s="14" t="s">
        <v>4114</v>
      </c>
      <c r="B177" s="16" t="str">
        <f>IMAGE("https://lmztiles.s3.eu-west-1.amazonaws.com/Modern_Interiors_v41.3.4/1_Interiors/16x16/Theme_Sorter_Singles/19_Hospital_SIngles/Hospital_Singles_181.png")</f>
        <v/>
      </c>
    </row>
    <row r="178" ht="39.75" customHeight="1">
      <c r="A178" s="14" t="s">
        <v>4115</v>
      </c>
      <c r="B178" s="16" t="str">
        <f>IMAGE("https://lmztiles.s3.eu-west-1.amazonaws.com/Modern_Interiors_v41.3.4/1_Interiors/16x16/Theme_Sorter_Singles/19_Hospital_SIngles/Hospital_Singles_182.png")</f>
        <v/>
      </c>
    </row>
    <row r="179" ht="39.75" customHeight="1">
      <c r="A179" s="14" t="s">
        <v>4116</v>
      </c>
      <c r="B179" s="16" t="str">
        <f>IMAGE("https://lmztiles.s3.eu-west-1.amazonaws.com/Modern_Interiors_v41.3.4/1_Interiors/16x16/Theme_Sorter_Singles/19_Hospital_SIngles/Hospital_Singles_183.png")</f>
        <v/>
      </c>
    </row>
    <row r="180" ht="39.75" customHeight="1">
      <c r="A180" s="14" t="s">
        <v>4117</v>
      </c>
      <c r="B180" s="16" t="str">
        <f>IMAGE("https://lmztiles.s3.eu-west-1.amazonaws.com/Modern_Interiors_v41.3.4/1_Interiors/16x16/Theme_Sorter_Singles/19_Hospital_SIngles/Hospital_Singles_184.png")</f>
        <v/>
      </c>
    </row>
    <row r="181" ht="39.75" customHeight="1">
      <c r="A181" s="14" t="s">
        <v>4118</v>
      </c>
      <c r="B181" s="16" t="str">
        <f>IMAGE("https://lmztiles.s3.eu-west-1.amazonaws.com/Modern_Interiors_v41.3.4/1_Interiors/16x16/Theme_Sorter_Singles/19_Hospital_SIngles/Hospital_Singles_185.png")</f>
        <v/>
      </c>
    </row>
    <row r="182" ht="39.75" customHeight="1">
      <c r="A182" s="14" t="s">
        <v>4119</v>
      </c>
      <c r="B182" s="16" t="str">
        <f>IMAGE("https://lmztiles.s3.eu-west-1.amazonaws.com/Modern_Interiors_v41.3.4/1_Interiors/16x16/Theme_Sorter_Singles/19_Hospital_SIngles/Hospital_Singles_186.png")</f>
        <v/>
      </c>
    </row>
    <row r="183" ht="39.75" customHeight="1">
      <c r="A183" s="14" t="s">
        <v>4120</v>
      </c>
      <c r="B183" s="16" t="str">
        <f>IMAGE("https://lmztiles.s3.eu-west-1.amazonaws.com/Modern_Interiors_v41.3.4/1_Interiors/16x16/Theme_Sorter_Singles/19_Hospital_SIngles/Hospital_Singles_187.png")</f>
        <v/>
      </c>
    </row>
    <row r="184" ht="39.75" customHeight="1">
      <c r="A184" s="14" t="s">
        <v>4121</v>
      </c>
      <c r="B184" s="16" t="str">
        <f>IMAGE("https://lmztiles.s3.eu-west-1.amazonaws.com/Modern_Interiors_v41.3.4/1_Interiors/16x16/Theme_Sorter_Singles/19_Hospital_SIngles/Hospital_Singles_188.png")</f>
        <v/>
      </c>
    </row>
    <row r="185" ht="39.75" customHeight="1">
      <c r="A185" s="14" t="s">
        <v>4122</v>
      </c>
      <c r="B185" s="16" t="str">
        <f>IMAGE("https://lmztiles.s3.eu-west-1.amazonaws.com/Modern_Interiors_v41.3.4/1_Interiors/16x16/Theme_Sorter_Singles/19_Hospital_SIngles/Hospital_Singles_189.png")</f>
        <v/>
      </c>
    </row>
    <row r="186" ht="39.75" customHeight="1">
      <c r="A186" s="14" t="s">
        <v>4123</v>
      </c>
      <c r="B186" s="16" t="str">
        <f>IMAGE("https://lmztiles.s3.eu-west-1.amazonaws.com/Modern_Interiors_v41.3.4/1_Interiors/16x16/Theme_Sorter_Singles/19_Hospital_SIngles/Hospital_Singles_190.png")</f>
        <v/>
      </c>
    </row>
    <row r="187" ht="39.75" customHeight="1">
      <c r="A187" s="14" t="s">
        <v>4124</v>
      </c>
      <c r="B187" s="16" t="str">
        <f>IMAGE("https://lmztiles.s3.eu-west-1.amazonaws.com/Modern_Interiors_v41.3.4/1_Interiors/16x16/Theme_Sorter_Singles/19_Hospital_SIngles/Hospital_Singles_191.png")</f>
        <v/>
      </c>
    </row>
    <row r="188" ht="39.75" customHeight="1">
      <c r="A188" s="14" t="s">
        <v>4125</v>
      </c>
      <c r="B188" s="16" t="str">
        <f>IMAGE("https://lmztiles.s3.eu-west-1.amazonaws.com/Modern_Interiors_v41.3.4/1_Interiors/16x16/Theme_Sorter_Singles/19_Hospital_SIngles/Hospital_Singles_192.png")</f>
        <v/>
      </c>
    </row>
    <row r="189" ht="39.75" customHeight="1">
      <c r="A189" s="14" t="s">
        <v>4126</v>
      </c>
      <c r="B189" s="16" t="str">
        <f>IMAGE("https://lmztiles.s3.eu-west-1.amazonaws.com/Modern_Interiors_v41.3.4/1_Interiors/16x16/Theme_Sorter_Singles/19_Hospital_SIngles/Hospital_Singles_193.png")</f>
        <v/>
      </c>
    </row>
    <row r="190" ht="39.75" customHeight="1">
      <c r="A190" s="14" t="s">
        <v>4127</v>
      </c>
      <c r="B190" s="16" t="str">
        <f>IMAGE("https://lmztiles.s3.eu-west-1.amazonaws.com/Modern_Interiors_v41.3.4/1_Interiors/16x16/Theme_Sorter_Singles/19_Hospital_SIngles/Hospital_Singles_194.png")</f>
        <v/>
      </c>
    </row>
    <row r="191" ht="39.75" customHeight="1">
      <c r="A191" s="14" t="s">
        <v>4128</v>
      </c>
      <c r="B191" s="16" t="str">
        <f>IMAGE("https://lmztiles.s3.eu-west-1.amazonaws.com/Modern_Interiors_v41.3.4/1_Interiors/16x16/Theme_Sorter_Singles/19_Hospital_SIngles/Hospital_Singles_195.png")</f>
        <v/>
      </c>
    </row>
    <row r="192" ht="39.75" customHeight="1">
      <c r="A192" s="14" t="s">
        <v>4129</v>
      </c>
      <c r="B192" s="16" t="str">
        <f>IMAGE("https://lmztiles.s3.eu-west-1.amazonaws.com/Modern_Interiors_v41.3.4/1_Interiors/16x16/Theme_Sorter_Singles/19_Hospital_SIngles/Hospital_Singles_196.png")</f>
        <v/>
      </c>
    </row>
    <row r="193" ht="39.75" customHeight="1">
      <c r="A193" s="14" t="s">
        <v>4130</v>
      </c>
      <c r="B193" s="16" t="str">
        <f>IMAGE("https://lmztiles.s3.eu-west-1.amazonaws.com/Modern_Interiors_v41.3.4/1_Interiors/16x16/Theme_Sorter_Singles/19_Hospital_SIngles/Hospital_Singles_197.png")</f>
        <v/>
      </c>
    </row>
    <row r="194" ht="39.75" customHeight="1">
      <c r="A194" s="14" t="s">
        <v>4131</v>
      </c>
      <c r="B194" s="16" t="str">
        <f>IMAGE("https://lmztiles.s3.eu-west-1.amazonaws.com/Modern_Interiors_v41.3.4/1_Interiors/16x16/Theme_Sorter_Singles/19_Hospital_SIngles/Hospital_Singles_198.png")</f>
        <v/>
      </c>
    </row>
    <row r="195" ht="39.75" customHeight="1">
      <c r="A195" s="14" t="s">
        <v>4132</v>
      </c>
      <c r="B195" s="16" t="str">
        <f>IMAGE("https://lmztiles.s3.eu-west-1.amazonaws.com/Modern_Interiors_v41.3.4/1_Interiors/16x16/Theme_Sorter_Singles/19_Hospital_SIngles/Hospital_Singles_199.png")</f>
        <v/>
      </c>
    </row>
    <row r="196" ht="39.75" customHeight="1">
      <c r="A196" s="14" t="s">
        <v>4133</v>
      </c>
      <c r="B196" s="16" t="str">
        <f>IMAGE("https://lmztiles.s3.eu-west-1.amazonaws.com/Modern_Interiors_v41.3.4/1_Interiors/16x16/Theme_Sorter_Singles/19_Hospital_SIngles/Hospital_Singles_200.png")</f>
        <v/>
      </c>
    </row>
    <row r="197" ht="39.75" customHeight="1">
      <c r="A197" s="14" t="s">
        <v>4134</v>
      </c>
      <c r="B197" s="16" t="str">
        <f>IMAGE("https://lmztiles.s3.eu-west-1.amazonaws.com/Modern_Interiors_v41.3.4/1_Interiors/16x16/Theme_Sorter_Singles/19_Hospital_SIngles/Hospital_Singles_201.png")</f>
        <v/>
      </c>
    </row>
    <row r="198" ht="39.75" customHeight="1">
      <c r="A198" s="14" t="s">
        <v>4135</v>
      </c>
      <c r="B198" s="16" t="str">
        <f>IMAGE("https://lmztiles.s3.eu-west-1.amazonaws.com/Modern_Interiors_v41.3.4/1_Interiors/16x16/Theme_Sorter_Singles/19_Hospital_SIngles/Hospital_Singles_202.png")</f>
        <v/>
      </c>
    </row>
    <row r="199" ht="39.75" customHeight="1">
      <c r="A199" s="14" t="s">
        <v>4136</v>
      </c>
      <c r="B199" s="16" t="str">
        <f>IMAGE("https://lmztiles.s3.eu-west-1.amazonaws.com/Modern_Interiors_v41.3.4/1_Interiors/16x16/Theme_Sorter_Singles/19_Hospital_SIngles/Hospital_Singles_203.png")</f>
        <v/>
      </c>
    </row>
    <row r="200" ht="39.75" customHeight="1">
      <c r="A200" s="14" t="s">
        <v>4137</v>
      </c>
      <c r="B200" s="16" t="str">
        <f>IMAGE("https://lmztiles.s3.eu-west-1.amazonaws.com/Modern_Interiors_v41.3.4/1_Interiors/16x16/Theme_Sorter_Singles/19_Hospital_SIngles/Hospital_Singles_204.png")</f>
        <v/>
      </c>
    </row>
    <row r="201" ht="39.75" customHeight="1">
      <c r="A201" s="14" t="s">
        <v>4138</v>
      </c>
      <c r="B201" s="16" t="str">
        <f>IMAGE("https://lmztiles.s3.eu-west-1.amazonaws.com/Modern_Interiors_v41.3.4/1_Interiors/16x16/Theme_Sorter_Singles/19_Hospital_SIngles/Hospital_Singles_205.png")</f>
        <v/>
      </c>
    </row>
    <row r="202" ht="39.75" customHeight="1">
      <c r="A202" s="14" t="s">
        <v>4139</v>
      </c>
      <c r="B202" s="16" t="str">
        <f>IMAGE("https://lmztiles.s3.eu-west-1.amazonaws.com/Modern_Interiors_v41.3.4/1_Interiors/16x16/Theme_Sorter_Singles/19_Hospital_SIngles/Hospital_Singles_206.png")</f>
        <v/>
      </c>
    </row>
    <row r="203" ht="39.75" customHeight="1">
      <c r="A203" s="14" t="s">
        <v>4140</v>
      </c>
      <c r="B203" s="16" t="str">
        <f>IMAGE("https://lmztiles.s3.eu-west-1.amazonaws.com/Modern_Interiors_v41.3.4/1_Interiors/16x16/Theme_Sorter_Singles/19_Hospital_SIngles/Hospital_Singles_207.png")</f>
        <v/>
      </c>
    </row>
    <row r="204" ht="39.75" customHeight="1">
      <c r="A204" s="14" t="s">
        <v>4141</v>
      </c>
      <c r="B204" s="16" t="str">
        <f>IMAGE("https://lmztiles.s3.eu-west-1.amazonaws.com/Modern_Interiors_v41.3.4/1_Interiors/16x16/Theme_Sorter_Singles/19_Hospital_SIngles/Hospital_Singles_208.png")</f>
        <v/>
      </c>
    </row>
    <row r="205" ht="39.75" customHeight="1">
      <c r="A205" s="14" t="s">
        <v>4142</v>
      </c>
      <c r="B205" s="16" t="str">
        <f>IMAGE("https://lmztiles.s3.eu-west-1.amazonaws.com/Modern_Interiors_v41.3.4/1_Interiors/16x16/Theme_Sorter_Singles/19_Hospital_SIngles/Hospital_Singles_209.png")</f>
        <v/>
      </c>
    </row>
    <row r="206" ht="39.75" customHeight="1">
      <c r="A206" s="14" t="s">
        <v>4143</v>
      </c>
      <c r="B206" s="16" t="str">
        <f>IMAGE("https://lmztiles.s3.eu-west-1.amazonaws.com/Modern_Interiors_v41.3.4/1_Interiors/16x16/Theme_Sorter_Singles/19_Hospital_SIngles/Hospital_Singles_210.png")</f>
        <v/>
      </c>
    </row>
    <row r="207" ht="39.75" customHeight="1">
      <c r="A207" s="14" t="s">
        <v>4144</v>
      </c>
      <c r="B207" s="16" t="str">
        <f>IMAGE("https://lmztiles.s3.eu-west-1.amazonaws.com/Modern_Interiors_v41.3.4/1_Interiors/16x16/Theme_Sorter_Singles/19_Hospital_SIngles/Hospital_Singles_211.png")</f>
        <v/>
      </c>
    </row>
    <row r="208" ht="39.75" customHeight="1">
      <c r="A208" s="14" t="s">
        <v>4145</v>
      </c>
      <c r="B208" s="16" t="str">
        <f>IMAGE("https://lmztiles.s3.eu-west-1.amazonaws.com/Modern_Interiors_v41.3.4/1_Interiors/16x16/Theme_Sorter_Singles/19_Hospital_SIngles/Hospital_Singles_212.png")</f>
        <v/>
      </c>
    </row>
    <row r="209" ht="39.75" customHeight="1">
      <c r="A209" s="14" t="s">
        <v>4146</v>
      </c>
      <c r="B209" s="16" t="str">
        <f>IMAGE("https://lmztiles.s3.eu-west-1.amazonaws.com/Modern_Interiors_v41.3.4/1_Interiors/16x16/Theme_Sorter_Singles/19_Hospital_SIngles/Hospital_Singles_213.png")</f>
        <v/>
      </c>
    </row>
    <row r="210" ht="39.75" customHeight="1">
      <c r="A210" s="14" t="s">
        <v>4147</v>
      </c>
      <c r="B210" s="16" t="str">
        <f>IMAGE("https://lmztiles.s3.eu-west-1.amazonaws.com/Modern_Interiors_v41.3.4/1_Interiors/16x16/Theme_Sorter_Singles/19_Hospital_SIngles/Hospital_Singles_214.png")</f>
        <v/>
      </c>
    </row>
    <row r="211" ht="39.75" customHeight="1">
      <c r="A211" s="14" t="s">
        <v>4148</v>
      </c>
      <c r="B211" s="16" t="str">
        <f>IMAGE("https://lmztiles.s3.eu-west-1.amazonaws.com/Modern_Interiors_v41.3.4/1_Interiors/16x16/Theme_Sorter_Singles/19_Hospital_SIngles/Hospital_Singles_215.png")</f>
        <v/>
      </c>
    </row>
    <row r="212" ht="39.75" customHeight="1">
      <c r="A212" s="14" t="s">
        <v>4149</v>
      </c>
      <c r="B212" s="16" t="str">
        <f>IMAGE("https://lmztiles.s3.eu-west-1.amazonaws.com/Modern_Interiors_v41.3.4/1_Interiors/16x16/Theme_Sorter_Singles/19_Hospital_SIngles/Hospital_Singles_216.png")</f>
        <v/>
      </c>
    </row>
    <row r="213" ht="39.75" customHeight="1">
      <c r="A213" s="14" t="s">
        <v>4150</v>
      </c>
      <c r="B213" s="16" t="str">
        <f>IMAGE("https://lmztiles.s3.eu-west-1.amazonaws.com/Modern_Interiors_v41.3.4/1_Interiors/16x16/Theme_Sorter_Singles/19_Hospital_SIngles/Hospital_Singles_217.png")</f>
        <v/>
      </c>
    </row>
    <row r="214" ht="39.75" customHeight="1">
      <c r="A214" s="14" t="s">
        <v>4151</v>
      </c>
      <c r="B214" s="16" t="str">
        <f>IMAGE("https://lmztiles.s3.eu-west-1.amazonaws.com/Modern_Interiors_v41.3.4/1_Interiors/16x16/Theme_Sorter_Singles/19_Hospital_SIngles/Hospital_Singles_218.png")</f>
        <v/>
      </c>
    </row>
    <row r="215" ht="39.75" customHeight="1">
      <c r="A215" s="14" t="s">
        <v>4152</v>
      </c>
      <c r="B215" s="16" t="str">
        <f>IMAGE("https://lmztiles.s3.eu-west-1.amazonaws.com/Modern_Interiors_v41.3.4/1_Interiors/16x16/Theme_Sorter_Singles/19_Hospital_SIngles/Hospital_Singles_219.png")</f>
        <v/>
      </c>
    </row>
    <row r="216" ht="39.75" customHeight="1">
      <c r="A216" s="14" t="s">
        <v>4153</v>
      </c>
      <c r="B216" s="16" t="str">
        <f>IMAGE("https://lmztiles.s3.eu-west-1.amazonaws.com/Modern_Interiors_v41.3.4/1_Interiors/16x16/Theme_Sorter_Singles/19_Hospital_SIngles/Hospital_Singles_220.png")</f>
        <v/>
      </c>
    </row>
    <row r="217" ht="39.75" customHeight="1">
      <c r="A217" s="14" t="s">
        <v>4154</v>
      </c>
      <c r="B217" s="16" t="str">
        <f>IMAGE("https://lmztiles.s3.eu-west-1.amazonaws.com/Modern_Interiors_v41.3.4/1_Interiors/16x16/Theme_Sorter_Singles/19_Hospital_SIngles/Hospital_Singles_221.png")</f>
        <v/>
      </c>
    </row>
    <row r="218" ht="39.75" customHeight="1">
      <c r="A218" s="14" t="s">
        <v>4155</v>
      </c>
      <c r="B218" s="16" t="str">
        <f>IMAGE("https://lmztiles.s3.eu-west-1.amazonaws.com/Modern_Interiors_v41.3.4/1_Interiors/16x16/Theme_Sorter_Singles/19_Hospital_SIngles/Hospital_Singles_222.png")</f>
        <v/>
      </c>
    </row>
    <row r="219" ht="39.75" customHeight="1">
      <c r="A219" s="14" t="s">
        <v>4156</v>
      </c>
      <c r="B219" s="16" t="str">
        <f>IMAGE("https://lmztiles.s3.eu-west-1.amazonaws.com/Modern_Interiors_v41.3.4/1_Interiors/16x16/Theme_Sorter_Singles/19_Hospital_SIngles/Hospital_Singles_223.png")</f>
        <v/>
      </c>
    </row>
    <row r="220" ht="39.75" customHeight="1">
      <c r="A220" s="14" t="s">
        <v>4157</v>
      </c>
      <c r="B220" s="16" t="str">
        <f>IMAGE("https://lmztiles.s3.eu-west-1.amazonaws.com/Modern_Interiors_v41.3.4/1_Interiors/16x16/Theme_Sorter_Singles/19_Hospital_SIngles/Hospital_Singles_224.png")</f>
        <v/>
      </c>
    </row>
    <row r="221" ht="39.75" customHeight="1">
      <c r="A221" s="14" t="s">
        <v>4158</v>
      </c>
      <c r="B221" s="16" t="str">
        <f>IMAGE("https://lmztiles.s3.eu-west-1.amazonaws.com/Modern_Interiors_v41.3.4/1_Interiors/16x16/Theme_Sorter_Singles/19_Hospital_SIngles/Hospital_Singles_225.png")</f>
        <v/>
      </c>
    </row>
    <row r="222" ht="39.75" customHeight="1">
      <c r="A222" s="14" t="s">
        <v>4159</v>
      </c>
      <c r="B222" s="16" t="str">
        <f>IMAGE("https://lmztiles.s3.eu-west-1.amazonaws.com/Modern_Interiors_v41.3.4/1_Interiors/16x16/Theme_Sorter_Singles/19_Hospital_SIngles/Hospital_Singles_226.png")</f>
        <v/>
      </c>
    </row>
    <row r="223" ht="39.75" customHeight="1">
      <c r="A223" s="14" t="s">
        <v>4160</v>
      </c>
      <c r="B223" s="16" t="str">
        <f>IMAGE("https://lmztiles.s3.eu-west-1.amazonaws.com/Modern_Interiors_v41.3.4/1_Interiors/16x16/Theme_Sorter_Singles/19_Hospital_SIngles/Hospital_Singles_227.png")</f>
        <v/>
      </c>
    </row>
    <row r="224" ht="39.75" customHeight="1">
      <c r="A224" s="14" t="s">
        <v>4161</v>
      </c>
      <c r="B224" s="16" t="str">
        <f>IMAGE("https://lmztiles.s3.eu-west-1.amazonaws.com/Modern_Interiors_v41.3.4/1_Interiors/16x16/Theme_Sorter_Singles/19_Hospital_SIngles/Hospital_Singles_228.png")</f>
        <v/>
      </c>
    </row>
    <row r="225" ht="39.75" customHeight="1">
      <c r="A225" s="14" t="s">
        <v>4162</v>
      </c>
      <c r="B225" s="16" t="str">
        <f>IMAGE("https://lmztiles.s3.eu-west-1.amazonaws.com/Modern_Interiors_v41.3.4/1_Interiors/16x16/Theme_Sorter_Singles/19_Hospital_SIngles/Hospital_Singles_229.png")</f>
        <v/>
      </c>
    </row>
    <row r="226" ht="39.75" customHeight="1">
      <c r="A226" s="14" t="s">
        <v>4163</v>
      </c>
      <c r="B226" s="16" t="str">
        <f>IMAGE("https://lmztiles.s3.eu-west-1.amazonaws.com/Modern_Interiors_v41.3.4/1_Interiors/16x16/Theme_Sorter_Singles/19_Hospital_SIngles/Hospital_Singles_230.png")</f>
        <v/>
      </c>
    </row>
    <row r="227" ht="39.75" customHeight="1">
      <c r="A227" s="14" t="s">
        <v>4164</v>
      </c>
      <c r="B227" s="16" t="str">
        <f>IMAGE("https://lmztiles.s3.eu-west-1.amazonaws.com/Modern_Interiors_v41.3.4/1_Interiors/16x16/Theme_Sorter_Singles/19_Hospital_SIngles/Hospital_Singles_231.png")</f>
        <v/>
      </c>
    </row>
    <row r="228" ht="39.75" customHeight="1">
      <c r="A228" s="14" t="s">
        <v>4165</v>
      </c>
      <c r="B228" s="16" t="str">
        <f>IMAGE("https://lmztiles.s3.eu-west-1.amazonaws.com/Modern_Interiors_v41.3.4/1_Interiors/16x16/Theme_Sorter_Singles/19_Hospital_SIngles/Hospital_Singles_232.png")</f>
        <v/>
      </c>
    </row>
    <row r="229" ht="39.75" customHeight="1">
      <c r="A229" s="14" t="s">
        <v>4166</v>
      </c>
      <c r="B229" s="16" t="str">
        <f>IMAGE("https://lmztiles.s3.eu-west-1.amazonaws.com/Modern_Interiors_v41.3.4/1_Interiors/16x16/Theme_Sorter_Singles/19_Hospital_SIngles/Hospital_Singles_233.png")</f>
        <v/>
      </c>
    </row>
    <row r="230" ht="39.75" customHeight="1">
      <c r="A230" s="14" t="s">
        <v>4167</v>
      </c>
      <c r="B230" s="16" t="str">
        <f>IMAGE("https://lmztiles.s3.eu-west-1.amazonaws.com/Modern_Interiors_v41.3.4/1_Interiors/16x16/Theme_Sorter_Singles/19_Hospital_SIngles/Hospital_Singles_234.png")</f>
        <v/>
      </c>
    </row>
    <row r="231" ht="39.75" customHeight="1">
      <c r="A231" s="14" t="s">
        <v>4168</v>
      </c>
      <c r="B231" s="16" t="str">
        <f>IMAGE("https://lmztiles.s3.eu-west-1.amazonaws.com/Modern_Interiors_v41.3.4/1_Interiors/16x16/Theme_Sorter_Singles/19_Hospital_SIngles/Hospital_Singles_235.png")</f>
        <v/>
      </c>
    </row>
    <row r="232" ht="39.75" customHeight="1">
      <c r="A232" s="14" t="s">
        <v>4169</v>
      </c>
      <c r="B232" s="16" t="str">
        <f>IMAGE("https://lmztiles.s3.eu-west-1.amazonaws.com/Modern_Interiors_v41.3.4/1_Interiors/16x16/Theme_Sorter_Singles/19_Hospital_SIngles/Hospital_Singles_236.png")</f>
        <v/>
      </c>
    </row>
    <row r="233" ht="39.75" customHeight="1">
      <c r="A233" s="14" t="s">
        <v>4170</v>
      </c>
      <c r="B233" s="16" t="str">
        <f>IMAGE("https://lmztiles.s3.eu-west-1.amazonaws.com/Modern_Interiors_v41.3.4/1_Interiors/16x16/Theme_Sorter_Singles/19_Hospital_SIngles/Hospital_Singles_237.png")</f>
        <v/>
      </c>
    </row>
    <row r="234" ht="39.75" customHeight="1">
      <c r="A234" s="14" t="s">
        <v>4171</v>
      </c>
      <c r="B234" s="16" t="str">
        <f>IMAGE("https://lmztiles.s3.eu-west-1.amazonaws.com/Modern_Interiors_v41.3.4/1_Interiors/16x16/Theme_Sorter_Singles/19_Hospital_SIngles/Hospital_Singles_238.png")</f>
        <v/>
      </c>
    </row>
    <row r="235" ht="39.75" customHeight="1">
      <c r="A235" s="14" t="s">
        <v>4172</v>
      </c>
      <c r="B235" s="16" t="str">
        <f>IMAGE("https://lmztiles.s3.eu-west-1.amazonaws.com/Modern_Interiors_v41.3.4/1_Interiors/16x16/Theme_Sorter_Singles/19_Hospital_SIngles/Hospital_Singles_239.png")</f>
        <v/>
      </c>
    </row>
    <row r="236" ht="39.75" customHeight="1">
      <c r="A236" s="14" t="s">
        <v>4173</v>
      </c>
      <c r="B236" s="16" t="str">
        <f>IMAGE("https://lmztiles.s3.eu-west-1.amazonaws.com/Modern_Interiors_v41.3.4/1_Interiors/16x16/Theme_Sorter_Singles/19_Hospital_SIngles/Hospital_Singles_240.png")</f>
        <v/>
      </c>
    </row>
    <row r="237" ht="39.75" customHeight="1">
      <c r="A237" s="14" t="s">
        <v>4174</v>
      </c>
      <c r="B237" s="16" t="str">
        <f>IMAGE("https://lmztiles.s3.eu-west-1.amazonaws.com/Modern_Interiors_v41.3.4/1_Interiors/16x16/Theme_Sorter_Singles/19_Hospital_SIngles/Hospital_Singles_241.png")</f>
        <v/>
      </c>
    </row>
    <row r="238" ht="39.75" customHeight="1">
      <c r="A238" s="14" t="s">
        <v>4175</v>
      </c>
      <c r="B238" s="16" t="str">
        <f>IMAGE("https://lmztiles.s3.eu-west-1.amazonaws.com/Modern_Interiors_v41.3.4/1_Interiors/16x16/Theme_Sorter_Singles/19_Hospital_SIngles/Hospital_Singles_242.png")</f>
        <v/>
      </c>
    </row>
    <row r="239" ht="39.75" customHeight="1">
      <c r="A239" s="14" t="s">
        <v>4176</v>
      </c>
      <c r="B239" s="16" t="str">
        <f>IMAGE("https://lmztiles.s3.eu-west-1.amazonaws.com/Modern_Interiors_v41.3.4/1_Interiors/16x16/Theme_Sorter_Singles/19_Hospital_SIngles/Hospital_Singles_243.png")</f>
        <v/>
      </c>
    </row>
    <row r="240" ht="39.75" customHeight="1">
      <c r="A240" s="14" t="s">
        <v>4177</v>
      </c>
      <c r="B240" s="16" t="str">
        <f>IMAGE("https://lmztiles.s3.eu-west-1.amazonaws.com/Modern_Interiors_v41.3.4/1_Interiors/16x16/Theme_Sorter_Singles/19_Hospital_SIngles/Hospital_Singles_244.png")</f>
        <v/>
      </c>
    </row>
    <row r="241" ht="39.75" customHeight="1">
      <c r="A241" s="14" t="s">
        <v>4178</v>
      </c>
      <c r="B241" s="16" t="str">
        <f>IMAGE("https://lmztiles.s3.eu-west-1.amazonaws.com/Modern_Interiors_v41.3.4/1_Interiors/16x16/Theme_Sorter_Singles/19_Hospital_SIngles/Hospital_Singles_245.png")</f>
        <v/>
      </c>
    </row>
    <row r="242" ht="39.75" customHeight="1">
      <c r="A242" s="14" t="s">
        <v>4179</v>
      </c>
      <c r="B242" s="16" t="str">
        <f>IMAGE("https://lmztiles.s3.eu-west-1.amazonaws.com/Modern_Interiors_v41.3.4/1_Interiors/16x16/Theme_Sorter_Singles/19_Hospital_SIngles/Hospital_Singles_246.png")</f>
        <v/>
      </c>
    </row>
    <row r="243" ht="39.75" customHeight="1">
      <c r="A243" s="14" t="s">
        <v>4180</v>
      </c>
      <c r="B243" s="16" t="str">
        <f>IMAGE("https://lmztiles.s3.eu-west-1.amazonaws.com/Modern_Interiors_v41.3.4/1_Interiors/16x16/Theme_Sorter_Singles/19_Hospital_SIngles/Hospital_Singles_247.png")</f>
        <v/>
      </c>
    </row>
    <row r="244" ht="39.75" customHeight="1">
      <c r="A244" s="14" t="s">
        <v>4181</v>
      </c>
      <c r="B244" s="16" t="str">
        <f>IMAGE("https://lmztiles.s3.eu-west-1.amazonaws.com/Modern_Interiors_v41.3.4/1_Interiors/16x16/Theme_Sorter_Singles/19_Hospital_SIngles/Hospital_Singles_248.png")</f>
        <v/>
      </c>
    </row>
    <row r="245" ht="39.75" customHeight="1">
      <c r="A245" s="14" t="s">
        <v>4182</v>
      </c>
      <c r="B245" s="16" t="str">
        <f>IMAGE("https://lmztiles.s3.eu-west-1.amazonaws.com/Modern_Interiors_v41.3.4/1_Interiors/16x16/Theme_Sorter_Singles/19_Hospital_SIngles/Hospital_Singles_249.png")</f>
        <v/>
      </c>
    </row>
    <row r="246" ht="39.75" customHeight="1">
      <c r="A246" s="14" t="s">
        <v>4183</v>
      </c>
      <c r="B246" s="16" t="str">
        <f>IMAGE("https://lmztiles.s3.eu-west-1.amazonaws.com/Modern_Interiors_v41.3.4/1_Interiors/16x16/Theme_Sorter_Singles/19_Hospital_SIngles/Hospital_Singles_250.png")</f>
        <v/>
      </c>
    </row>
    <row r="247" ht="39.75" customHeight="1">
      <c r="A247" s="14" t="s">
        <v>4184</v>
      </c>
      <c r="B247" s="16" t="str">
        <f>IMAGE("https://lmztiles.s3.eu-west-1.amazonaws.com/Modern_Interiors_v41.3.4/1_Interiors/16x16/Theme_Sorter_Singles/19_Hospital_SIngles/Hospital_Singles_251.png")</f>
        <v/>
      </c>
    </row>
    <row r="248" ht="39.75" customHeight="1">
      <c r="A248" s="14" t="s">
        <v>4185</v>
      </c>
      <c r="B248" s="16" t="str">
        <f>IMAGE("https://lmztiles.s3.eu-west-1.amazonaws.com/Modern_Interiors_v41.3.4/1_Interiors/16x16/Theme_Sorter_Singles/19_Hospital_SIngles/Hospital_Singles_252.png")</f>
        <v/>
      </c>
    </row>
    <row r="249" ht="39.75" customHeight="1">
      <c r="A249" s="14" t="s">
        <v>4186</v>
      </c>
      <c r="B249" s="16" t="str">
        <f>IMAGE("https://lmztiles.s3.eu-west-1.amazonaws.com/Modern_Interiors_v41.3.4/1_Interiors/16x16/Theme_Sorter_Singles/19_Hospital_SIngles/Hospital_Singles_253.png")</f>
        <v/>
      </c>
    </row>
    <row r="250" ht="39.75" customHeight="1">
      <c r="A250" s="14" t="s">
        <v>4187</v>
      </c>
      <c r="B250" s="16" t="str">
        <f>IMAGE("https://lmztiles.s3.eu-west-1.amazonaws.com/Modern_Interiors_v41.3.4/1_Interiors/16x16/Theme_Sorter_Singles/19_Hospital_SIngles/Hospital_Singles_254.png")</f>
        <v/>
      </c>
    </row>
    <row r="251" ht="39.75" customHeight="1">
      <c r="A251" s="14" t="s">
        <v>4188</v>
      </c>
      <c r="B251" s="16" t="str">
        <f>IMAGE("https://lmztiles.s3.eu-west-1.amazonaws.com/Modern_Interiors_v41.3.4/1_Interiors/16x16/Theme_Sorter_Singles/19_Hospital_SIngles/Hospital_Singles_255.png")</f>
        <v/>
      </c>
    </row>
    <row r="252" ht="39.75" customHeight="1">
      <c r="A252" s="14" t="s">
        <v>4189</v>
      </c>
      <c r="B252" s="16" t="str">
        <f>IMAGE("https://lmztiles.s3.eu-west-1.amazonaws.com/Modern_Interiors_v41.3.4/1_Interiors/16x16/Theme_Sorter_Singles/19_Hospital_SIngles/Hospital_Singles_256.png")</f>
        <v/>
      </c>
    </row>
    <row r="253" ht="39.75" customHeight="1">
      <c r="A253" s="14" t="s">
        <v>4190</v>
      </c>
      <c r="B253" s="16" t="str">
        <f>IMAGE("https://lmztiles.s3.eu-west-1.amazonaws.com/Modern_Interiors_v41.3.4/1_Interiors/16x16/Theme_Sorter_Singles/19_Hospital_SIngles/Hospital_Singles_257.png")</f>
        <v/>
      </c>
    </row>
    <row r="254" ht="39.75" customHeight="1">
      <c r="A254" s="14" t="s">
        <v>4191</v>
      </c>
      <c r="B254" s="16" t="str">
        <f>IMAGE("https://lmztiles.s3.eu-west-1.amazonaws.com/Modern_Interiors_v41.3.4/1_Interiors/16x16/Theme_Sorter_Singles/19_Hospital_SIngles/Hospital_Singles_258.png")</f>
        <v/>
      </c>
    </row>
    <row r="255" ht="39.75" customHeight="1">
      <c r="A255" s="14" t="s">
        <v>4192</v>
      </c>
      <c r="B255" s="16" t="str">
        <f>IMAGE("https://lmztiles.s3.eu-west-1.amazonaws.com/Modern_Interiors_v41.3.4/1_Interiors/16x16/Theme_Sorter_Singles/19_Hospital_SIngles/Hospital_Singles_259.png")</f>
        <v/>
      </c>
    </row>
    <row r="256" ht="39.75" customHeight="1">
      <c r="A256" s="14" t="s">
        <v>4193</v>
      </c>
      <c r="B256" s="16" t="str">
        <f>IMAGE("https://lmztiles.s3.eu-west-1.amazonaws.com/Modern_Interiors_v41.3.4/1_Interiors/16x16/Theme_Sorter_Singles/19_Hospital_SIngles/Hospital_Singles_260.png")</f>
        <v/>
      </c>
    </row>
    <row r="257" ht="39.75" customHeight="1">
      <c r="A257" s="14" t="s">
        <v>4194</v>
      </c>
      <c r="B257" s="16" t="str">
        <f>IMAGE("https://lmztiles.s3.eu-west-1.amazonaws.com/Modern_Interiors_v41.3.4/1_Interiors/16x16/Theme_Sorter_Singles/19_Hospital_SIngles/Hospital_Singles_261.png")</f>
        <v/>
      </c>
    </row>
    <row r="258" ht="39.75" customHeight="1">
      <c r="A258" s="14" t="s">
        <v>4195</v>
      </c>
      <c r="B258" s="16" t="str">
        <f>IMAGE("https://lmztiles.s3.eu-west-1.amazonaws.com/Modern_Interiors_v41.3.4/1_Interiors/16x16/Theme_Sorter_Singles/19_Hospital_SIngles/Hospital_Singles_262.png")</f>
        <v/>
      </c>
    </row>
    <row r="259" ht="39.75" customHeight="1">
      <c r="A259" s="14" t="s">
        <v>4196</v>
      </c>
      <c r="B259" s="16" t="str">
        <f>IMAGE("https://lmztiles.s3.eu-west-1.amazonaws.com/Modern_Interiors_v41.3.4/1_Interiors/16x16/Theme_Sorter_Singles/19_Hospital_SIngles/Hospital_Singles_263.png")</f>
        <v/>
      </c>
    </row>
    <row r="260" ht="39.75" customHeight="1">
      <c r="A260" s="14" t="s">
        <v>4197</v>
      </c>
      <c r="B260" s="16" t="str">
        <f>IMAGE("https://lmztiles.s3.eu-west-1.amazonaws.com/Modern_Interiors_v41.3.4/1_Interiors/16x16/Theme_Sorter_Singles/19_Hospital_SIngles/Hospital_Singles_264.png")</f>
        <v/>
      </c>
    </row>
    <row r="261" ht="39.75" customHeight="1">
      <c r="A261" s="14" t="s">
        <v>4198</v>
      </c>
      <c r="B261" s="16" t="str">
        <f>IMAGE("https://lmztiles.s3.eu-west-1.amazonaws.com/Modern_Interiors_v41.3.4/1_Interiors/16x16/Theme_Sorter_Singles/19_Hospital_SIngles/Hospital_Singles_265.png")</f>
        <v/>
      </c>
    </row>
    <row r="262" ht="39.75" customHeight="1">
      <c r="A262" s="14" t="s">
        <v>4199</v>
      </c>
      <c r="B262" s="16" t="str">
        <f>IMAGE("https://lmztiles.s3.eu-west-1.amazonaws.com/Modern_Interiors_v41.3.4/1_Interiors/16x16/Theme_Sorter_Singles/19_Hospital_SIngles/Hospital_Singles_266.png")</f>
        <v/>
      </c>
    </row>
    <row r="263" ht="39.75" customHeight="1">
      <c r="A263" s="14" t="s">
        <v>4200</v>
      </c>
      <c r="B263" s="16" t="str">
        <f>IMAGE("https://lmztiles.s3.eu-west-1.amazonaws.com/Modern_Interiors_v41.3.4/1_Interiors/16x16/Theme_Sorter_Singles/19_Hospital_SIngles/Hospital_Singles_267.png")</f>
        <v/>
      </c>
    </row>
    <row r="264" ht="39.75" customHeight="1">
      <c r="A264" s="14" t="s">
        <v>4201</v>
      </c>
      <c r="B264" s="16" t="str">
        <f>IMAGE("https://lmztiles.s3.eu-west-1.amazonaws.com/Modern_Interiors_v41.3.4/1_Interiors/16x16/Theme_Sorter_Singles/19_Hospital_SIngles/Hospital_Singles_268.png")</f>
        <v/>
      </c>
    </row>
    <row r="265" ht="39.75" customHeight="1">
      <c r="A265" s="14" t="s">
        <v>4202</v>
      </c>
      <c r="B265" s="16" t="str">
        <f>IMAGE("https://lmztiles.s3.eu-west-1.amazonaws.com/Modern_Interiors_v41.3.4/1_Interiors/16x16/Theme_Sorter_Singles/19_Hospital_SIngles/Hospital_Singles_269.png")</f>
        <v/>
      </c>
    </row>
    <row r="266" ht="39.75" customHeight="1">
      <c r="A266" s="14" t="s">
        <v>4203</v>
      </c>
      <c r="B266" s="16" t="str">
        <f>IMAGE("https://lmztiles.s3.eu-west-1.amazonaws.com/Modern_Interiors_v41.3.4/1_Interiors/16x16/Theme_Sorter_Singles/19_Hospital_SIngles/Hospital_Singles_270.png")</f>
        <v/>
      </c>
    </row>
    <row r="267" ht="39.75" customHeight="1">
      <c r="A267" s="14" t="s">
        <v>4204</v>
      </c>
      <c r="B267" s="16" t="str">
        <f>IMAGE("https://lmztiles.s3.eu-west-1.amazonaws.com/Modern_Interiors_v41.3.4/1_Interiors/16x16/Theme_Sorter_Singles/19_Hospital_SIngles/Hospital_Singles_271.png")</f>
        <v/>
      </c>
    </row>
    <row r="268" ht="39.75" customHeight="1">
      <c r="A268" s="14" t="s">
        <v>4205</v>
      </c>
      <c r="B268" s="16" t="str">
        <f>IMAGE("https://lmztiles.s3.eu-west-1.amazonaws.com/Modern_Interiors_v41.3.4/1_Interiors/16x16/Theme_Sorter_Singles/19_Hospital_SIngles/Hospital_Singles_272.png")</f>
        <v/>
      </c>
    </row>
    <row r="269" ht="39.75" customHeight="1">
      <c r="A269" s="14" t="s">
        <v>4206</v>
      </c>
      <c r="B269" s="16" t="str">
        <f>IMAGE("https://lmztiles.s3.eu-west-1.amazonaws.com/Modern_Interiors_v41.3.4/1_Interiors/16x16/Theme_Sorter_Singles/19_Hospital_SIngles/Hospital_Singles_273.png")</f>
        <v/>
      </c>
    </row>
    <row r="270" ht="39.75" customHeight="1">
      <c r="A270" s="14" t="s">
        <v>4207</v>
      </c>
      <c r="B270" s="16" t="str">
        <f>IMAGE("https://lmztiles.s3.eu-west-1.amazonaws.com/Modern_Interiors_v41.3.4/1_Interiors/16x16/Theme_Sorter_Singles/19_Hospital_SIngles/Hospital_Singles_274.png")</f>
        <v/>
      </c>
    </row>
    <row r="271" ht="39.75" customHeight="1">
      <c r="A271" s="14" t="s">
        <v>4208</v>
      </c>
      <c r="B271" s="16" t="str">
        <f>IMAGE("https://lmztiles.s3.eu-west-1.amazonaws.com/Modern_Interiors_v41.3.4/1_Interiors/16x16/Theme_Sorter_Singles/19_Hospital_SIngles/Hospital_Singles_275.png")</f>
        <v/>
      </c>
    </row>
    <row r="272" ht="39.75" customHeight="1">
      <c r="A272" s="14" t="s">
        <v>4209</v>
      </c>
      <c r="B272" s="16" t="str">
        <f>IMAGE("https://lmztiles.s3.eu-west-1.amazonaws.com/Modern_Interiors_v41.3.4/1_Interiors/16x16/Theme_Sorter_Singles/19_Hospital_SIngles/Hospital_Singles_276.png")</f>
        <v/>
      </c>
    </row>
    <row r="273" ht="39.75" customHeight="1">
      <c r="A273" s="14" t="s">
        <v>4210</v>
      </c>
      <c r="B273" s="16" t="str">
        <f>IMAGE("https://lmztiles.s3.eu-west-1.amazonaws.com/Modern_Interiors_v41.3.4/1_Interiors/16x16/Theme_Sorter_Singles/19_Hospital_SIngles/Hospital_Singles_277.png")</f>
        <v/>
      </c>
    </row>
    <row r="274" ht="39.75" customHeight="1">
      <c r="A274" s="14" t="s">
        <v>4211</v>
      </c>
      <c r="B274" s="16" t="str">
        <f>IMAGE("https://lmztiles.s3.eu-west-1.amazonaws.com/Modern_Interiors_v41.3.4/1_Interiors/16x16/Theme_Sorter_Singles/19_Hospital_SIngles/Hospital_Singles_278.png")</f>
        <v/>
      </c>
    </row>
    <row r="275" ht="39.75" customHeight="1">
      <c r="A275" s="14" t="s">
        <v>4212</v>
      </c>
      <c r="B275" s="16" t="str">
        <f>IMAGE("https://lmztiles.s3.eu-west-1.amazonaws.com/Modern_Interiors_v41.3.4/1_Interiors/16x16/Theme_Sorter_Singles/19_Hospital_SIngles/Hospital_Singles_279.png")</f>
        <v/>
      </c>
    </row>
    <row r="276" ht="39.75" customHeight="1">
      <c r="A276" s="14" t="s">
        <v>4213</v>
      </c>
      <c r="B276" s="16" t="str">
        <f>IMAGE("https://lmztiles.s3.eu-west-1.amazonaws.com/Modern_Interiors_v41.3.4/1_Interiors/16x16/Theme_Sorter_Singles/19_Hospital_SIngles/Hospital_Singles_280.png")</f>
        <v/>
      </c>
    </row>
    <row r="277" ht="39.75" customHeight="1">
      <c r="A277" s="14" t="s">
        <v>4214</v>
      </c>
      <c r="B277" s="16" t="str">
        <f>IMAGE("https://lmztiles.s3.eu-west-1.amazonaws.com/Modern_Interiors_v41.3.4/1_Interiors/16x16/Theme_Sorter_Singles/19_Hospital_SIngles/Hospital_Singles_281.png")</f>
        <v/>
      </c>
    </row>
    <row r="278" ht="39.75" customHeight="1">
      <c r="A278" s="14" t="s">
        <v>4215</v>
      </c>
      <c r="B278" s="16" t="str">
        <f>IMAGE("https://lmztiles.s3.eu-west-1.amazonaws.com/Modern_Interiors_v41.3.4/1_Interiors/16x16/Theme_Sorter_Singles/19_Hospital_SIngles/Hospital_Singles_282.png")</f>
        <v/>
      </c>
    </row>
    <row r="279" ht="39.75" customHeight="1">
      <c r="A279" s="14" t="s">
        <v>4216</v>
      </c>
      <c r="B279" s="16" t="str">
        <f>IMAGE("https://lmztiles.s3.eu-west-1.amazonaws.com/Modern_Interiors_v41.3.4/1_Interiors/16x16/Theme_Sorter_Singles/19_Hospital_SIngles/Hospital_Singles_283.png")</f>
        <v/>
      </c>
    </row>
    <row r="280" ht="39.75" customHeight="1">
      <c r="A280" s="14" t="s">
        <v>4217</v>
      </c>
      <c r="B280" s="16" t="str">
        <f>IMAGE("https://lmztiles.s3.eu-west-1.amazonaws.com/Modern_Interiors_v41.3.4/1_Interiors/16x16/Theme_Sorter_Singles/19_Hospital_SIngles/Hospital_Singles_284.png")</f>
        <v/>
      </c>
    </row>
    <row r="281" ht="39.75" customHeight="1">
      <c r="A281" s="14" t="s">
        <v>4218</v>
      </c>
      <c r="B281" s="16" t="str">
        <f>IMAGE("https://lmztiles.s3.eu-west-1.amazonaws.com/Modern_Interiors_v41.3.4/1_Interiors/16x16/Theme_Sorter_Singles/19_Hospital_SIngles/Hospital_Singles_285.png")</f>
        <v/>
      </c>
    </row>
    <row r="282" ht="39.75" customHeight="1">
      <c r="A282" s="14" t="s">
        <v>4219</v>
      </c>
      <c r="B282" s="16" t="str">
        <f>IMAGE("https://lmztiles.s3.eu-west-1.amazonaws.com/Modern_Interiors_v41.3.4/1_Interiors/16x16/Theme_Sorter_Singles/19_Hospital_SIngles/Hospital_Singles_286.png")</f>
        <v/>
      </c>
    </row>
    <row r="283" ht="39.75" customHeight="1">
      <c r="A283" s="14" t="s">
        <v>4220</v>
      </c>
      <c r="B283" s="16" t="str">
        <f>IMAGE("https://lmztiles.s3.eu-west-1.amazonaws.com/Modern_Interiors_v41.3.4/1_Interiors/16x16/Theme_Sorter_Singles/19_Hospital_SIngles/Hospital_Singles_287.png")</f>
        <v/>
      </c>
    </row>
    <row r="284" ht="39.75" customHeight="1">
      <c r="A284" s="14" t="s">
        <v>4221</v>
      </c>
      <c r="B284" s="16" t="str">
        <f>IMAGE("https://lmztiles.s3.eu-west-1.amazonaws.com/Modern_Interiors_v41.3.4/1_Interiors/16x16/Theme_Sorter_Singles/19_Hospital_SIngles/Hospital_Singles_288.png")</f>
        <v/>
      </c>
    </row>
    <row r="285" ht="39.75" customHeight="1">
      <c r="A285" s="14" t="s">
        <v>4222</v>
      </c>
      <c r="B285" s="16" t="str">
        <f>IMAGE("https://lmztiles.s3.eu-west-1.amazonaws.com/Modern_Interiors_v41.3.4/1_Interiors/16x16/Theme_Sorter_Singles/19_Hospital_SIngles/Hospital_Singles_289.png")</f>
        <v/>
      </c>
    </row>
    <row r="286" ht="39.75" customHeight="1">
      <c r="A286" s="14" t="s">
        <v>4223</v>
      </c>
      <c r="B286" s="16" t="str">
        <f>IMAGE("https://lmztiles.s3.eu-west-1.amazonaws.com/Modern_Interiors_v41.3.4/1_Interiors/16x16/Theme_Sorter_Singles/19_Hospital_SIngles/Hospital_Singles_290.png")</f>
        <v/>
      </c>
    </row>
    <row r="287" ht="39.75" customHeight="1">
      <c r="A287" s="14" t="s">
        <v>4224</v>
      </c>
      <c r="B287" s="16" t="str">
        <f>IMAGE("https://lmztiles.s3.eu-west-1.amazonaws.com/Modern_Interiors_v41.3.4/1_Interiors/16x16/Theme_Sorter_Singles/19_Hospital_SIngles/Hospital_Singles_291.png")</f>
        <v/>
      </c>
    </row>
    <row r="288" ht="39.75" customHeight="1">
      <c r="A288" s="14" t="s">
        <v>4225</v>
      </c>
      <c r="B288" s="16" t="str">
        <f>IMAGE("https://lmztiles.s3.eu-west-1.amazonaws.com/Modern_Interiors_v41.3.4/1_Interiors/16x16/Theme_Sorter_Singles/19_Hospital_SIngles/Hospital_Singles_292.png")</f>
        <v/>
      </c>
    </row>
    <row r="289" ht="39.75" customHeight="1">
      <c r="A289" s="14" t="s">
        <v>4226</v>
      </c>
      <c r="B289" s="16" t="str">
        <f>IMAGE("https://lmztiles.s3.eu-west-1.amazonaws.com/Modern_Interiors_v41.3.4/1_Interiors/16x16/Theme_Sorter_Singles/19_Hospital_SIngles/Hospital_Singles_293.png")</f>
        <v/>
      </c>
    </row>
    <row r="290" ht="39.75" customHeight="1">
      <c r="A290" s="14" t="s">
        <v>4227</v>
      </c>
      <c r="B290" s="16" t="str">
        <f>IMAGE("https://lmztiles.s3.eu-west-1.amazonaws.com/Modern_Interiors_v41.3.4/1_Interiors/16x16/Theme_Sorter_Singles/19_Hospital_SIngles/Hospital_Singles_294.png")</f>
        <v/>
      </c>
    </row>
    <row r="291" ht="39.75" customHeight="1">
      <c r="A291" s="14" t="s">
        <v>4228</v>
      </c>
      <c r="B291" s="16" t="str">
        <f>IMAGE("https://lmztiles.s3.eu-west-1.amazonaws.com/Modern_Interiors_v41.3.4/1_Interiors/16x16/Theme_Sorter_Singles/19_Hospital_SIngles/Hospital_Singles_295.png")</f>
        <v/>
      </c>
    </row>
    <row r="292" ht="39.75" customHeight="1">
      <c r="A292" s="14" t="s">
        <v>4229</v>
      </c>
      <c r="B292" s="16" t="str">
        <f>IMAGE("https://lmztiles.s3.eu-west-1.amazonaws.com/Modern_Interiors_v41.3.4/1_Interiors/16x16/Theme_Sorter_Singles/19_Hospital_SIngles/Hospital_Singles_296.png")</f>
        <v/>
      </c>
    </row>
    <row r="293" ht="39.75" customHeight="1">
      <c r="A293" s="14" t="s">
        <v>4230</v>
      </c>
      <c r="B293" s="16" t="str">
        <f>IMAGE("https://lmztiles.s3.eu-west-1.amazonaws.com/Modern_Interiors_v41.3.4/1_Interiors/16x16/Theme_Sorter_Singles/19_Hospital_SIngles/Hospital_Singles_297.png")</f>
        <v/>
      </c>
    </row>
    <row r="294" ht="39.75" customHeight="1">
      <c r="A294" s="14" t="s">
        <v>4231</v>
      </c>
      <c r="B294" s="16" t="str">
        <f>IMAGE("https://lmztiles.s3.eu-west-1.amazonaws.com/Modern_Interiors_v41.3.4/1_Interiors/16x16/Theme_Sorter_Singles/19_Hospital_SIngles/Hospital_Singles_298.png")</f>
        <v/>
      </c>
    </row>
    <row r="295" ht="39.75" customHeight="1">
      <c r="A295" s="14" t="s">
        <v>4232</v>
      </c>
      <c r="B295" s="16" t="str">
        <f>IMAGE("https://lmztiles.s3.eu-west-1.amazonaws.com/Modern_Interiors_v41.3.4/1_Interiors/16x16/Theme_Sorter_Singles/19_Hospital_SIngles/Hospital_Singles_299.png")</f>
        <v/>
      </c>
    </row>
    <row r="296" ht="39.75" customHeight="1">
      <c r="A296" s="14" t="s">
        <v>4233</v>
      </c>
      <c r="B296" s="16" t="str">
        <f>IMAGE("https://lmztiles.s3.eu-west-1.amazonaws.com/Modern_Interiors_v41.3.4/1_Interiors/16x16/Theme_Sorter_Singles/19_Hospital_SIngles/Hospital_Singles_300.png")</f>
        <v/>
      </c>
    </row>
    <row r="297" ht="39.75" customHeight="1">
      <c r="A297" s="14" t="s">
        <v>4234</v>
      </c>
      <c r="B297" s="16" t="str">
        <f>IMAGE("https://lmztiles.s3.eu-west-1.amazonaws.com/Modern_Interiors_v41.3.4/1_Interiors/16x16/Theme_Sorter_Singles/19_Hospital_SIngles/Hospital_Singles_301.png")</f>
        <v/>
      </c>
    </row>
    <row r="298" ht="39.75" customHeight="1">
      <c r="A298" s="14" t="s">
        <v>4235</v>
      </c>
      <c r="B298" s="16" t="str">
        <f>IMAGE("https://lmztiles.s3.eu-west-1.amazonaws.com/Modern_Interiors_v41.3.4/1_Interiors/16x16/Theme_Sorter_Singles/19_Hospital_SIngles/Hospital_Singles_302.png")</f>
        <v/>
      </c>
    </row>
    <row r="299" ht="39.75" customHeight="1">
      <c r="A299" s="14" t="s">
        <v>4236</v>
      </c>
      <c r="B299" s="16" t="str">
        <f>IMAGE("https://lmztiles.s3.eu-west-1.amazonaws.com/Modern_Interiors_v41.3.4/1_Interiors/16x16/Theme_Sorter_Singles/19_Hospital_SIngles/Hospital_Singles_303.png")</f>
        <v/>
      </c>
    </row>
    <row r="300" ht="39.75" customHeight="1">
      <c r="A300" s="14" t="s">
        <v>4237</v>
      </c>
      <c r="B300" s="16" t="str">
        <f>IMAGE("https://lmztiles.s3.eu-west-1.amazonaws.com/Modern_Interiors_v41.3.4/1_Interiors/16x16/Theme_Sorter_Singles/19_Hospital_SIngles/Hospital_Singles_304.png")</f>
        <v/>
      </c>
    </row>
    <row r="301" ht="39.75" customHeight="1">
      <c r="A301" s="14" t="s">
        <v>4238</v>
      </c>
      <c r="B301" s="16" t="str">
        <f>IMAGE("https://lmztiles.s3.eu-west-1.amazonaws.com/Modern_Interiors_v41.3.4/1_Interiors/16x16/Theme_Sorter_Singles/19_Hospital_SIngles/Hospital_Singles_305.png")</f>
        <v/>
      </c>
    </row>
    <row r="302" ht="39.75" customHeight="1">
      <c r="A302" s="14" t="s">
        <v>4239</v>
      </c>
      <c r="B302" s="16" t="str">
        <f>IMAGE("https://lmztiles.s3.eu-west-1.amazonaws.com/Modern_Interiors_v41.3.4/1_Interiors/16x16/Theme_Sorter_Singles/19_Hospital_SIngles/Hospital_Singles_306.png")</f>
        <v/>
      </c>
    </row>
    <row r="303" ht="39.75" customHeight="1">
      <c r="A303" s="14" t="s">
        <v>4240</v>
      </c>
      <c r="B303" s="16" t="str">
        <f>IMAGE("https://lmztiles.s3.eu-west-1.amazonaws.com/Modern_Interiors_v41.3.4/1_Interiors/16x16/Theme_Sorter_Singles/19_Hospital_SIngles/Hospital_Singles_307.png")</f>
        <v/>
      </c>
    </row>
    <row r="304" ht="39.75" customHeight="1">
      <c r="A304" s="14" t="s">
        <v>4241</v>
      </c>
      <c r="B304" s="16" t="str">
        <f>IMAGE("https://lmztiles.s3.eu-west-1.amazonaws.com/Modern_Interiors_v41.3.4/1_Interiors/16x16/Theme_Sorter_Singles/19_Hospital_SIngles/Hospital_Singles_308.png")</f>
        <v/>
      </c>
    </row>
    <row r="305" ht="39.75" customHeight="1">
      <c r="A305" s="14" t="s">
        <v>4242</v>
      </c>
      <c r="B305" s="16" t="str">
        <f>IMAGE("https://lmztiles.s3.eu-west-1.amazonaws.com/Modern_Interiors_v41.3.4/1_Interiors/16x16/Theme_Sorter_Singles/19_Hospital_SIngles/Hospital_Singles_309.png")</f>
        <v/>
      </c>
    </row>
    <row r="306" ht="39.75" customHeight="1">
      <c r="A306" s="14" t="s">
        <v>4243</v>
      </c>
      <c r="B306" s="16" t="str">
        <f>IMAGE("https://lmztiles.s3.eu-west-1.amazonaws.com/Modern_Interiors_v41.3.4/1_Interiors/16x16/Theme_Sorter_Singles/19_Hospital_SIngles/Hospital_Singles_310.png")</f>
        <v/>
      </c>
    </row>
    <row r="307" ht="39.75" customHeight="1">
      <c r="A307" s="14" t="s">
        <v>4244</v>
      </c>
      <c r="B307" s="16" t="str">
        <f>IMAGE("https://lmztiles.s3.eu-west-1.amazonaws.com/Modern_Interiors_v41.3.4/1_Interiors/16x16/Theme_Sorter_Singles/19_Hospital_SIngles/Hospital_Singles_311.png")</f>
        <v/>
      </c>
    </row>
    <row r="308" ht="39.75" customHeight="1">
      <c r="A308" s="14" t="s">
        <v>4245</v>
      </c>
      <c r="B308" s="16" t="str">
        <f>IMAGE("https://lmztiles.s3.eu-west-1.amazonaws.com/Modern_Interiors_v41.3.4/1_Interiors/16x16/Theme_Sorter_Singles/19_Hospital_SIngles/Hospital_Singles_312.png")</f>
        <v/>
      </c>
    </row>
    <row r="309" ht="39.75" customHeight="1">
      <c r="A309" s="14" t="s">
        <v>4246</v>
      </c>
      <c r="B309" s="16" t="str">
        <f>IMAGE("https://lmztiles.s3.eu-west-1.amazonaws.com/Modern_Interiors_v41.3.4/1_Interiors/16x16/Theme_Sorter_Singles/19_Hospital_SIngles/Hospital_Singles_313.png")</f>
        <v/>
      </c>
    </row>
    <row r="310" ht="39.75" customHeight="1">
      <c r="A310" s="14" t="s">
        <v>4247</v>
      </c>
      <c r="B310" s="16" t="str">
        <f>IMAGE("https://lmztiles.s3.eu-west-1.amazonaws.com/Modern_Interiors_v41.3.4/1_Interiors/16x16/Theme_Sorter_Singles/19_Hospital_SIngles/Hospital_Singles_314.png")</f>
        <v/>
      </c>
    </row>
    <row r="311" ht="39.75" customHeight="1">
      <c r="A311" s="14" t="s">
        <v>4248</v>
      </c>
      <c r="B311" s="16" t="str">
        <f>IMAGE("https://lmztiles.s3.eu-west-1.amazonaws.com/Modern_Interiors_v41.3.4/1_Interiors/16x16/Theme_Sorter_Singles/19_Hospital_SIngles/Hospital_Singles_315.png")</f>
        <v/>
      </c>
    </row>
    <row r="312" ht="39.75" customHeight="1">
      <c r="A312" s="14" t="s">
        <v>4249</v>
      </c>
      <c r="B312" s="16" t="str">
        <f>IMAGE("https://lmztiles.s3.eu-west-1.amazonaws.com/Modern_Interiors_v41.3.4/1_Interiors/16x16/Theme_Sorter_Singles/19_Hospital_SIngles/Hospital_Singles_316.png")</f>
        <v/>
      </c>
    </row>
    <row r="313" ht="39.75" customHeight="1">
      <c r="A313" s="14" t="s">
        <v>4250</v>
      </c>
      <c r="B313" s="16" t="str">
        <f>IMAGE("https://lmztiles.s3.eu-west-1.amazonaws.com/Modern_Interiors_v41.3.4/1_Interiors/16x16/Theme_Sorter_Singles/19_Hospital_SIngles/Hospital_Singles_317.png")</f>
        <v/>
      </c>
    </row>
    <row r="314" ht="39.75" customHeight="1">
      <c r="A314" s="14" t="s">
        <v>4251</v>
      </c>
      <c r="B314" s="16" t="str">
        <f>IMAGE("https://lmztiles.s3.eu-west-1.amazonaws.com/Modern_Interiors_v41.3.4/1_Interiors/16x16/Theme_Sorter_Singles/19_Hospital_SIngles/Hospital_Singles_318.png")</f>
        <v/>
      </c>
    </row>
    <row r="315" ht="39.75" customHeight="1">
      <c r="A315" s="14" t="s">
        <v>4252</v>
      </c>
      <c r="B315" s="16" t="str">
        <f>IMAGE("https://lmztiles.s3.eu-west-1.amazonaws.com/Modern_Interiors_v41.3.4/1_Interiors/16x16/Theme_Sorter_Singles/19_Hospital_SIngles/Hospital_Singles_319.png")</f>
        <v/>
      </c>
    </row>
    <row r="316" ht="39.75" customHeight="1">
      <c r="A316" s="14" t="s">
        <v>4253</v>
      </c>
      <c r="B316" s="16" t="str">
        <f>IMAGE("https://lmztiles.s3.eu-west-1.amazonaws.com/Modern_Interiors_v41.3.4/1_Interiors/16x16/Theme_Sorter_Singles/19_Hospital_SIngles/Hospital_Singles_320.png")</f>
        <v/>
      </c>
    </row>
    <row r="317" ht="39.75" customHeight="1">
      <c r="A317" s="14" t="s">
        <v>4254</v>
      </c>
      <c r="B317" s="16" t="str">
        <f>IMAGE("https://lmztiles.s3.eu-west-1.amazonaws.com/Modern_Interiors_v41.3.4/1_Interiors/16x16/Theme_Sorter_Singles/19_Hospital_SIngles/Hospital_Singles_321.png")</f>
        <v/>
      </c>
    </row>
    <row r="318" ht="39.75" customHeight="1">
      <c r="A318" s="14" t="s">
        <v>4255</v>
      </c>
      <c r="B318" s="16" t="str">
        <f>IMAGE("https://lmztiles.s3.eu-west-1.amazonaws.com/Modern_Interiors_v41.3.4/1_Interiors/16x16/Theme_Sorter_Singles/19_Hospital_SIngles/Hospital_Singles_322.png")</f>
        <v/>
      </c>
    </row>
    <row r="319" ht="39.75" customHeight="1">
      <c r="A319" s="14" t="s">
        <v>4256</v>
      </c>
      <c r="B319" s="16" t="str">
        <f>IMAGE("https://lmztiles.s3.eu-west-1.amazonaws.com/Modern_Interiors_v41.3.4/1_Interiors/16x16/Theme_Sorter_Singles/19_Hospital_SIngles/Hospital_Singles_323.png")</f>
        <v/>
      </c>
    </row>
    <row r="320" ht="39.75" customHeight="1">
      <c r="A320" s="14" t="s">
        <v>4257</v>
      </c>
      <c r="B320" s="16" t="str">
        <f>IMAGE("https://lmztiles.s3.eu-west-1.amazonaws.com/Modern_Interiors_v41.3.4/1_Interiors/16x16/Theme_Sorter_Singles/19_Hospital_SIngles/Hospital_Singles_324.png")</f>
        <v/>
      </c>
    </row>
    <row r="321" ht="39.75" customHeight="1">
      <c r="A321" s="14" t="s">
        <v>4258</v>
      </c>
      <c r="B321" s="16" t="str">
        <f>IMAGE("https://lmztiles.s3.eu-west-1.amazonaws.com/Modern_Interiors_v41.3.4/1_Interiors/16x16/Theme_Sorter_Singles/19_Hospital_SIngles/Hospital_Singles_325.png")</f>
        <v/>
      </c>
    </row>
    <row r="322" ht="39.75" customHeight="1">
      <c r="A322" s="14" t="s">
        <v>4259</v>
      </c>
      <c r="B322" s="16" t="str">
        <f>IMAGE("https://lmztiles.s3.eu-west-1.amazonaws.com/Modern_Interiors_v41.3.4/1_Interiors/16x16/Theme_Sorter_Singles/19_Hospital_SIngles/Hospital_Singles_326.png")</f>
        <v/>
      </c>
    </row>
    <row r="323" ht="39.75" customHeight="1">
      <c r="A323" s="14" t="s">
        <v>4260</v>
      </c>
      <c r="B323" s="16" t="str">
        <f>IMAGE("https://lmztiles.s3.eu-west-1.amazonaws.com/Modern_Interiors_v41.3.4/1_Interiors/16x16/Theme_Sorter_Singles/19_Hospital_SIngles/Hospital_Singles_327.png")</f>
        <v/>
      </c>
    </row>
    <row r="324" ht="39.75" customHeight="1">
      <c r="A324" s="14" t="s">
        <v>4261</v>
      </c>
      <c r="B324" s="16" t="str">
        <f>IMAGE("https://lmztiles.s3.eu-west-1.amazonaws.com/Modern_Interiors_v41.3.4/1_Interiors/16x16/Theme_Sorter_Singles/19_Hospital_SIngles/Hospital_Singles_328.png")</f>
        <v/>
      </c>
    </row>
    <row r="325" ht="39.75" customHeight="1">
      <c r="A325" s="14" t="s">
        <v>4262</v>
      </c>
      <c r="B325" s="16" t="str">
        <f>IMAGE("https://lmztiles.s3.eu-west-1.amazonaws.com/Modern_Interiors_v41.3.4/1_Interiors/16x16/Theme_Sorter_Singles/19_Hospital_SIngles/Hospital_Singles_329.png")</f>
        <v/>
      </c>
    </row>
    <row r="326" ht="39.75" customHeight="1">
      <c r="A326" s="14" t="s">
        <v>4263</v>
      </c>
      <c r="B326" s="16" t="str">
        <f>IMAGE("https://lmztiles.s3.eu-west-1.amazonaws.com/Modern_Interiors_v41.3.4/1_Interiors/16x16/Theme_Sorter_Singles/19_Hospital_SIngles/Hospital_Singles_330.png")</f>
        <v/>
      </c>
    </row>
    <row r="327" ht="39.75" customHeight="1">
      <c r="A327" s="14" t="s">
        <v>4264</v>
      </c>
      <c r="B327" s="16" t="str">
        <f>IMAGE("https://lmztiles.s3.eu-west-1.amazonaws.com/Modern_Interiors_v41.3.4/1_Interiors/16x16/Theme_Sorter_Singles/19_Hospital_SIngles/Hospital_Singles_331.png")</f>
        <v/>
      </c>
    </row>
    <row r="328" ht="39.75" customHeight="1">
      <c r="A328" s="14" t="s">
        <v>4265</v>
      </c>
      <c r="B328" s="16" t="str">
        <f>IMAGE("https://lmztiles.s3.eu-west-1.amazonaws.com/Modern_Interiors_v41.3.4/1_Interiors/16x16/Theme_Sorter_Singles/19_Hospital_SIngles/Hospital_Singles_332.png")</f>
        <v/>
      </c>
    </row>
    <row r="329" ht="39.75" customHeight="1">
      <c r="A329" s="14" t="s">
        <v>4266</v>
      </c>
      <c r="B329" s="16" t="str">
        <f>IMAGE("https://lmztiles.s3.eu-west-1.amazonaws.com/Modern_Interiors_v41.3.4/1_Interiors/16x16/Theme_Sorter_Singles/19_Hospital_SIngles/Hospital_Singles_333.png")</f>
        <v/>
      </c>
    </row>
    <row r="330" ht="39.75" customHeight="1">
      <c r="A330" s="14" t="s">
        <v>4267</v>
      </c>
      <c r="B330" s="16" t="str">
        <f>IMAGE("https://lmztiles.s3.eu-west-1.amazonaws.com/Modern_Interiors_v41.3.4/1_Interiors/16x16/Theme_Sorter_Singles/19_Hospital_SIngles/Hospital_Singles_334.png")</f>
        <v/>
      </c>
    </row>
    <row r="331" ht="39.75" customHeight="1">
      <c r="A331" s="14" t="s">
        <v>4268</v>
      </c>
      <c r="B331" s="16" t="str">
        <f>IMAGE("https://lmztiles.s3.eu-west-1.amazonaws.com/Modern_Interiors_v41.3.4/1_Interiors/16x16/Theme_Sorter_Singles/19_Hospital_SIngles/Hospital_Singles_335.png")</f>
        <v/>
      </c>
    </row>
    <row r="332" ht="39.75" customHeight="1">
      <c r="A332" s="14" t="s">
        <v>4269</v>
      </c>
      <c r="B332" s="16" t="str">
        <f>IMAGE("https://lmztiles.s3.eu-west-1.amazonaws.com/Modern_Interiors_v41.3.4/1_Interiors/16x16/Theme_Sorter_Singles/19_Hospital_SIngles/Hospital_Singles_336.png")</f>
        <v/>
      </c>
    </row>
    <row r="333" ht="39.75" customHeight="1">
      <c r="A333" s="14" t="s">
        <v>4270</v>
      </c>
      <c r="B333" s="16" t="str">
        <f>IMAGE("https://lmztiles.s3.eu-west-1.amazonaws.com/Modern_Interiors_v41.3.4/1_Interiors/16x16/Theme_Sorter_Singles/19_Hospital_SIngles/Hospital_Singles_337.png")</f>
        <v/>
      </c>
    </row>
    <row r="334" ht="39.75" customHeight="1">
      <c r="A334" s="14" t="s">
        <v>4271</v>
      </c>
      <c r="B334" s="16" t="str">
        <f>IMAGE("https://lmztiles.s3.eu-west-1.amazonaws.com/Modern_Interiors_v41.3.4/1_Interiors/16x16/Theme_Sorter_Singles/19_Hospital_SIngles/Hospital_Singles_338.png")</f>
        <v/>
      </c>
    </row>
    <row r="335" ht="39.75" customHeight="1">
      <c r="A335" s="14" t="s">
        <v>4272</v>
      </c>
      <c r="B335" s="16" t="str">
        <f>IMAGE("https://lmztiles.s3.eu-west-1.amazonaws.com/Modern_Interiors_v41.3.4/1_Interiors/16x16/Theme_Sorter_Singles/19_Hospital_SIngles/Hospital_Singles_339.png")</f>
        <v/>
      </c>
    </row>
    <row r="336" ht="39.75" customHeight="1">
      <c r="A336" s="14" t="s">
        <v>4273</v>
      </c>
      <c r="B336" s="16" t="str">
        <f>IMAGE("https://lmztiles.s3.eu-west-1.amazonaws.com/Modern_Interiors_v41.3.4/1_Interiors/16x16/Theme_Sorter_Singles/19_Hospital_SIngles/Hospital_Singles_340.png")</f>
        <v/>
      </c>
    </row>
    <row r="337" ht="39.75" customHeight="1">
      <c r="A337" s="14" t="s">
        <v>4274</v>
      </c>
      <c r="B337" s="16" t="str">
        <f>IMAGE("https://lmztiles.s3.eu-west-1.amazonaws.com/Modern_Interiors_v41.3.4/1_Interiors/16x16/Theme_Sorter_Singles/19_Hospital_SIngles/Hospital_Singles_341.png")</f>
        <v/>
      </c>
    </row>
    <row r="338" ht="39.75" customHeight="1">
      <c r="A338" s="14" t="s">
        <v>4275</v>
      </c>
      <c r="B338" s="16" t="str">
        <f>IMAGE("https://lmztiles.s3.eu-west-1.amazonaws.com/Modern_Interiors_v41.3.4/1_Interiors/16x16/Theme_Sorter_Singles/19_Hospital_SIngles/Hospital_Singles_342.png")</f>
        <v/>
      </c>
    </row>
    <row r="339" ht="39.75" customHeight="1">
      <c r="A339" s="14" t="s">
        <v>4276</v>
      </c>
      <c r="B339" s="16" t="str">
        <f>IMAGE("https://lmztiles.s3.eu-west-1.amazonaws.com/Modern_Interiors_v41.3.4/1_Interiors/16x16/Theme_Sorter_Singles/19_Hospital_SIngles/Hospital_Singles_343.png")</f>
        <v/>
      </c>
    </row>
    <row r="340" ht="39.75" customHeight="1">
      <c r="A340" s="14" t="s">
        <v>4277</v>
      </c>
      <c r="B340" s="16" t="str">
        <f>IMAGE("https://lmztiles.s3.eu-west-1.amazonaws.com/Modern_Interiors_v41.3.4/1_Interiors/16x16/Theme_Sorter_Singles/19_Hospital_SIngles/Hospital_Singles_344.png")</f>
        <v/>
      </c>
    </row>
    <row r="341" ht="39.75" customHeight="1">
      <c r="A341" s="14" t="s">
        <v>4278</v>
      </c>
      <c r="B341" s="16" t="str">
        <f>IMAGE("https://lmztiles.s3.eu-west-1.amazonaws.com/Modern_Interiors_v41.3.4/1_Interiors/16x16/Theme_Sorter_Singles/19_Hospital_SIngles/Hospital_Singles_345.png")</f>
        <v/>
      </c>
    </row>
    <row r="342" ht="39.75" customHeight="1">
      <c r="A342" s="14" t="s">
        <v>4279</v>
      </c>
      <c r="B342" s="16" t="str">
        <f>IMAGE("https://lmztiles.s3.eu-west-1.amazonaws.com/Modern_Interiors_v41.3.4/1_Interiors/16x16/Theme_Sorter_Singles/19_Hospital_SIngles/Hospital_Singles_346.png")</f>
        <v/>
      </c>
    </row>
    <row r="343" ht="39.75" customHeight="1">
      <c r="A343" s="14" t="s">
        <v>4280</v>
      </c>
      <c r="B343" s="16" t="str">
        <f>IMAGE("https://lmztiles.s3.eu-west-1.amazonaws.com/Modern_Interiors_v41.3.4/1_Interiors/16x16/Theme_Sorter_Singles/19_Hospital_SIngles/Hospital_Singles_347.png")</f>
        <v/>
      </c>
    </row>
    <row r="344" ht="39.75" customHeight="1">
      <c r="A344" s="14" t="s">
        <v>4281</v>
      </c>
      <c r="B344" s="16" t="str">
        <f>IMAGE("https://lmztiles.s3.eu-west-1.amazonaws.com/Modern_Interiors_v41.3.4/1_Interiors/16x16/Theme_Sorter_Singles/19_Hospital_SIngles/Hospital_Singles_348.png")</f>
        <v/>
      </c>
    </row>
    <row r="345" ht="39.75" customHeight="1">
      <c r="A345" s="14" t="s">
        <v>4282</v>
      </c>
      <c r="B345" s="16" t="str">
        <f>IMAGE("https://lmztiles.s3.eu-west-1.amazonaws.com/Modern_Interiors_v41.3.4/1_Interiors/16x16/Theme_Sorter_Singles/19_Hospital_SIngles/Hospital_Singles_349.png")</f>
        <v/>
      </c>
    </row>
    <row r="346" ht="39.75" customHeight="1">
      <c r="A346" s="14" t="s">
        <v>4283</v>
      </c>
      <c r="B346" s="16" t="str">
        <f>IMAGE("https://lmztiles.s3.eu-west-1.amazonaws.com/Modern_Interiors_v41.3.4/1_Interiors/16x16/Theme_Sorter_Singles/19_Hospital_SIngles/Hospital_Singles_350.png")</f>
        <v/>
      </c>
    </row>
    <row r="347" ht="39.75" customHeight="1">
      <c r="A347" s="14" t="s">
        <v>4284</v>
      </c>
      <c r="B347" s="16" t="str">
        <f>IMAGE("https://lmztiles.s3.eu-west-1.amazonaws.com/Modern_Interiors_v41.3.4/1_Interiors/16x16/Theme_Sorter_Singles/19_Hospital_SIngles/Hospital_Singles_351.png")</f>
        <v/>
      </c>
    </row>
    <row r="348" ht="39.75" customHeight="1">
      <c r="A348" s="14" t="s">
        <v>4285</v>
      </c>
      <c r="B348" s="16" t="str">
        <f>IMAGE("https://lmztiles.s3.eu-west-1.amazonaws.com/Modern_Interiors_v41.3.4/1_Interiors/16x16/Theme_Sorter_Singles/19_Hospital_SIngles/Hospital_Singles_352.png")</f>
        <v/>
      </c>
    </row>
    <row r="349" ht="39.75" customHeight="1">
      <c r="A349" s="14" t="s">
        <v>4286</v>
      </c>
      <c r="B349" s="16" t="str">
        <f>IMAGE("https://lmztiles.s3.eu-west-1.amazonaws.com/Modern_Interiors_v41.3.4/1_Interiors/16x16/Theme_Sorter_Singles/19_Hospital_SIngles/Hospital_Singles_353.png")</f>
        <v/>
      </c>
    </row>
    <row r="350" ht="39.75" customHeight="1">
      <c r="A350" s="14" t="s">
        <v>4287</v>
      </c>
      <c r="B350" s="16" t="str">
        <f>IMAGE("https://lmztiles.s3.eu-west-1.amazonaws.com/Modern_Interiors_v41.3.4/1_Interiors/16x16/Theme_Sorter_Singles/19_Hospital_SIngles/Hospital_Singles_354.png")</f>
        <v/>
      </c>
    </row>
    <row r="351" ht="39.75" customHeight="1">
      <c r="A351" s="14" t="s">
        <v>4288</v>
      </c>
      <c r="B351" s="16" t="str">
        <f>IMAGE("https://lmztiles.s3.eu-west-1.amazonaws.com/Modern_Interiors_v41.3.4/1_Interiors/16x16/Theme_Sorter_Singles/19_Hospital_SIngles/Hospital_Singles_355.png")</f>
        <v/>
      </c>
    </row>
    <row r="352" ht="39.75" customHeight="1">
      <c r="A352" s="14" t="s">
        <v>4289</v>
      </c>
      <c r="B352" s="16" t="str">
        <f>IMAGE("https://lmztiles.s3.eu-west-1.amazonaws.com/Modern_Interiors_v41.3.4/1_Interiors/16x16/Theme_Sorter_Singles/19_Hospital_SIngles/Hospital_Singles_356.png")</f>
        <v/>
      </c>
    </row>
    <row r="353" ht="39.75" customHeight="1">
      <c r="A353" s="14" t="s">
        <v>4290</v>
      </c>
      <c r="B353" s="16" t="str">
        <f>IMAGE("https://lmztiles.s3.eu-west-1.amazonaws.com/Modern_Interiors_v41.3.4/1_Interiors/16x16/Theme_Sorter_Singles/19_Hospital_SIngles/Hospital_Singles_357.png")</f>
        <v/>
      </c>
    </row>
    <row r="354" ht="39.75" customHeight="1">
      <c r="A354" s="14" t="s">
        <v>4291</v>
      </c>
      <c r="B354" s="16" t="str">
        <f>IMAGE("https://lmztiles.s3.eu-west-1.amazonaws.com/Modern_Interiors_v41.3.4/1_Interiors/16x16/Theme_Sorter_Singles/19_Hospital_SIngles/Hospital_Singles_358.png")</f>
        <v/>
      </c>
    </row>
    <row r="355" ht="39.75" customHeight="1">
      <c r="A355" s="14" t="s">
        <v>4292</v>
      </c>
      <c r="B355" s="16" t="str">
        <f>IMAGE("https://lmztiles.s3.eu-west-1.amazonaws.com/Modern_Interiors_v41.3.4/1_Interiors/16x16/Theme_Sorter_Singles/19_Hospital_SIngles/Hospital_Singles_359.png")</f>
        <v/>
      </c>
    </row>
    <row r="356" ht="39.75" customHeight="1">
      <c r="A356" s="14" t="s">
        <v>4293</v>
      </c>
      <c r="B356" s="16" t="str">
        <f>IMAGE("https://lmztiles.s3.eu-west-1.amazonaws.com/Modern_Interiors_v41.3.4/1_Interiors/16x16/Theme_Sorter_Singles/19_Hospital_SIngles/Hospital_Singles_360.png")</f>
        <v/>
      </c>
    </row>
    <row r="357" ht="39.75" customHeight="1">
      <c r="A357" s="14" t="s">
        <v>4294</v>
      </c>
      <c r="B357" s="16" t="str">
        <f>IMAGE("https://lmztiles.s3.eu-west-1.amazonaws.com/Modern_Interiors_v41.3.4/1_Interiors/16x16/Theme_Sorter_Singles/19_Hospital_SIngles/Hospital_Singles_361.png")</f>
        <v/>
      </c>
    </row>
    <row r="358" ht="39.75" customHeight="1">
      <c r="A358" s="14" t="s">
        <v>4295</v>
      </c>
      <c r="B358" s="16" t="str">
        <f>IMAGE("https://lmztiles.s3.eu-west-1.amazonaws.com/Modern_Interiors_v41.3.4/1_Interiors/16x16/Theme_Sorter_Singles/19_Hospital_SIngles/Hospital_Singles_362.png")</f>
        <v/>
      </c>
    </row>
    <row r="359" ht="39.75" customHeight="1">
      <c r="A359" s="14" t="s">
        <v>4296</v>
      </c>
      <c r="B359" s="16" t="str">
        <f>IMAGE("https://lmztiles.s3.eu-west-1.amazonaws.com/Modern_Interiors_v41.3.4/1_Interiors/16x16/Theme_Sorter_Singles/19_Hospital_SIngles/Hospital_Singles_363.png")</f>
        <v/>
      </c>
    </row>
    <row r="360" ht="39.75" customHeight="1">
      <c r="A360" s="14" t="s">
        <v>4297</v>
      </c>
      <c r="B360" s="16" t="str">
        <f>IMAGE("https://lmztiles.s3.eu-west-1.amazonaws.com/Modern_Interiors_v41.3.4/1_Interiors/16x16/Theme_Sorter_Singles/19_Hospital_SIngles/Hospital_Singles_364.png")</f>
        <v/>
      </c>
    </row>
    <row r="361" ht="39.75" customHeight="1">
      <c r="A361" s="14" t="s">
        <v>4298</v>
      </c>
      <c r="B361" s="16" t="str">
        <f>IMAGE("https://lmztiles.s3.eu-west-1.amazonaws.com/Modern_Interiors_v41.3.4/1_Interiors/16x16/Theme_Sorter_Singles/19_Hospital_SIngles/Hospital_Singles_365.png")</f>
        <v/>
      </c>
    </row>
    <row r="362" ht="39.75" customHeight="1">
      <c r="A362" s="14" t="s">
        <v>4299</v>
      </c>
      <c r="B362" s="16" t="str">
        <f>IMAGE("https://lmztiles.s3.eu-west-1.amazonaws.com/Modern_Interiors_v41.3.4/1_Interiors/16x16/Theme_Sorter_Singles/19_Hospital_SIngles/Hospital_Singles_366.png")</f>
        <v/>
      </c>
    </row>
    <row r="363" ht="39.75" customHeight="1">
      <c r="A363" s="14" t="s">
        <v>4300</v>
      </c>
      <c r="B363" s="16" t="str">
        <f>IMAGE("https://lmztiles.s3.eu-west-1.amazonaws.com/Modern_Interiors_v41.3.4/1_Interiors/16x16/Theme_Sorter_Singles/19_Hospital_SIngles/Hospital_Singles_367.png")</f>
        <v/>
      </c>
    </row>
    <row r="364" ht="39.75" customHeight="1">
      <c r="A364" s="14" t="s">
        <v>4301</v>
      </c>
      <c r="B364" s="16" t="str">
        <f>IMAGE("https://lmztiles.s3.eu-west-1.amazonaws.com/Modern_Interiors_v41.3.4/1_Interiors/16x16/Theme_Sorter_Singles/19_Hospital_SIngles/Hospital_Singles_368.png")</f>
        <v/>
      </c>
    </row>
    <row r="365" ht="39.75" customHeight="1">
      <c r="A365" s="14" t="s">
        <v>4302</v>
      </c>
      <c r="B365" s="16" t="str">
        <f>IMAGE("https://lmztiles.s3.eu-west-1.amazonaws.com/Modern_Interiors_v41.3.4/1_Interiors/16x16/Theme_Sorter_Singles/19_Hospital_SIngles/Hospital_Singles_369.png")</f>
        <v/>
      </c>
    </row>
    <row r="366" ht="39.75" customHeight="1">
      <c r="A366" s="14" t="s">
        <v>4303</v>
      </c>
      <c r="B366" s="16" t="str">
        <f>IMAGE("https://lmztiles.s3.eu-west-1.amazonaws.com/Modern_Interiors_v41.3.4/1_Interiors/16x16/Theme_Sorter_Singles/19_Hospital_SIngles/Hospital_Singles_370.png")</f>
        <v/>
      </c>
    </row>
    <row r="367" ht="39.75" customHeight="1">
      <c r="A367" s="14" t="s">
        <v>4304</v>
      </c>
      <c r="B367" s="16" t="str">
        <f>IMAGE("https://lmztiles.s3.eu-west-1.amazonaws.com/Modern_Interiors_v41.3.4/1_Interiors/16x16/Theme_Sorter_Singles/19_Hospital_SIngles/Hospital_Singles_371.png")</f>
        <v/>
      </c>
    </row>
    <row r="368" ht="39.75" customHeight="1">
      <c r="A368" s="14" t="s">
        <v>4305</v>
      </c>
      <c r="B368" s="16" t="str">
        <f>IMAGE("https://lmztiles.s3.eu-west-1.amazonaws.com/Modern_Interiors_v41.3.4/1_Interiors/16x16/Theme_Sorter_Singles/19_Hospital_SIngles/Hospital_Singles_372.png")</f>
        <v/>
      </c>
    </row>
    <row r="369" ht="39.75" customHeight="1">
      <c r="A369" s="14" t="s">
        <v>4306</v>
      </c>
      <c r="B369" s="16" t="str">
        <f>IMAGE("https://lmztiles.s3.eu-west-1.amazonaws.com/Modern_Interiors_v41.3.4/1_Interiors/16x16/Theme_Sorter_Singles/19_Hospital_SIngles/Hospital_Singles_373.png")</f>
        <v/>
      </c>
    </row>
    <row r="370" ht="39.75" customHeight="1">
      <c r="A370" s="14" t="s">
        <v>4307</v>
      </c>
      <c r="B370" s="16" t="str">
        <f>IMAGE("https://lmztiles.s3.eu-west-1.amazonaws.com/Modern_Interiors_v41.3.4/1_Interiors/16x16/Theme_Sorter_Singles/19_Hospital_SIngles/Hospital_Singles_374.png")</f>
        <v/>
      </c>
    </row>
    <row r="371" ht="39.75" customHeight="1">
      <c r="A371" s="14" t="s">
        <v>4308</v>
      </c>
      <c r="B371" s="16" t="str">
        <f>IMAGE("https://lmztiles.s3.eu-west-1.amazonaws.com/Modern_Interiors_v41.3.4/1_Interiors/16x16/Theme_Sorter_Singles/19_Hospital_SIngles/Hospital_Singles_375.png")</f>
        <v/>
      </c>
    </row>
    <row r="372" ht="39.75" customHeight="1">
      <c r="A372" s="14" t="s">
        <v>4309</v>
      </c>
      <c r="B372" s="16" t="str">
        <f>IMAGE("https://lmztiles.s3.eu-west-1.amazonaws.com/Modern_Interiors_v41.3.4/1_Interiors/16x16/Theme_Sorter_Singles/19_Hospital_SIngles/Hospital_Singles_376.png")</f>
        <v/>
      </c>
    </row>
    <row r="373" ht="39.75" customHeight="1">
      <c r="A373" s="14" t="s">
        <v>4310</v>
      </c>
      <c r="B373" s="16" t="str">
        <f>IMAGE("https://lmztiles.s3.eu-west-1.amazonaws.com/Modern_Interiors_v41.3.4/1_Interiors/16x16/Theme_Sorter_Singles/19_Hospital_SIngles/Hospital_Singles_377.png")</f>
        <v/>
      </c>
    </row>
    <row r="374" ht="39.75" customHeight="1">
      <c r="A374" s="14" t="s">
        <v>4311</v>
      </c>
      <c r="B374" s="16" t="str">
        <f>IMAGE("https://lmztiles.s3.eu-west-1.amazonaws.com/Modern_Interiors_v41.3.4/1_Interiors/16x16/Theme_Sorter_Singles/19_Hospital_SIngles/Hospital_Singles_378.png")</f>
        <v/>
      </c>
    </row>
    <row r="375" ht="39.75" customHeight="1">
      <c r="A375" s="14" t="s">
        <v>4312</v>
      </c>
      <c r="B375" s="16" t="str">
        <f>IMAGE("https://lmztiles.s3.eu-west-1.amazonaws.com/Modern_Interiors_v41.3.4/1_Interiors/16x16/Theme_Sorter_Singles/19_Hospital_SIngles/Hospital_Singles_379.png")</f>
        <v/>
      </c>
    </row>
    <row r="376" ht="39.75" customHeight="1">
      <c r="A376" s="14" t="s">
        <v>4313</v>
      </c>
      <c r="B376" s="16" t="str">
        <f>IMAGE("https://lmztiles.s3.eu-west-1.amazonaws.com/Modern_Interiors_v41.3.4/1_Interiors/16x16/Theme_Sorter_Singles/19_Hospital_SIngles/Hospital_Singles_380.png")</f>
        <v/>
      </c>
    </row>
    <row r="377" ht="39.75" customHeight="1">
      <c r="A377" s="14" t="s">
        <v>4314</v>
      </c>
      <c r="B377" s="16" t="str">
        <f>IMAGE("https://lmztiles.s3.eu-west-1.amazonaws.com/Modern_Interiors_v41.3.4/1_Interiors/16x16/Theme_Sorter_Singles/19_Hospital_SIngles/Hospital_Singles_381.png")</f>
        <v/>
      </c>
    </row>
    <row r="378" ht="39.75" customHeight="1">
      <c r="A378" s="14" t="s">
        <v>4315</v>
      </c>
      <c r="B378" s="16" t="str">
        <f>IMAGE("https://lmztiles.s3.eu-west-1.amazonaws.com/Modern_Interiors_v41.3.4/1_Interiors/16x16/Theme_Sorter_Singles/19_Hospital_SIngles/Hospital_Singles_382.png")</f>
        <v/>
      </c>
    </row>
    <row r="379" ht="39.75" customHeight="1">
      <c r="A379" s="14" t="s">
        <v>4316</v>
      </c>
      <c r="B379" s="16" t="str">
        <f>IMAGE("https://lmztiles.s3.eu-west-1.amazonaws.com/Modern_Interiors_v41.3.4/1_Interiors/16x16/Theme_Sorter_Singles/19_Hospital_SIngles/Hospital_Singles_383.png")</f>
        <v/>
      </c>
    </row>
    <row r="380" ht="39.75" customHeight="1">
      <c r="A380" s="14" t="s">
        <v>4317</v>
      </c>
      <c r="B380" s="16" t="str">
        <f>IMAGE("https://lmztiles.s3.eu-west-1.amazonaws.com/Modern_Interiors_v41.3.4/1_Interiors/16x16/Theme_Sorter_Singles/19_Hospital_SIngles/Hospital_Singles_384.png")</f>
        <v/>
      </c>
    </row>
    <row r="381" ht="39.75" customHeight="1">
      <c r="A381" s="14" t="s">
        <v>4318</v>
      </c>
      <c r="B381" s="16" t="str">
        <f>IMAGE("https://lmztiles.s3.eu-west-1.amazonaws.com/Modern_Interiors_v41.3.4/1_Interiors/16x16/Theme_Sorter_Singles/19_Hospital_SIngles/Hospital_Singles_385.png")</f>
        <v/>
      </c>
    </row>
    <row r="382" ht="39.75" customHeight="1">
      <c r="A382" s="14" t="s">
        <v>4319</v>
      </c>
      <c r="B382" s="16" t="str">
        <f>IMAGE("https://lmztiles.s3.eu-west-1.amazonaws.com/Modern_Interiors_v41.3.4/1_Interiors/16x16/Theme_Sorter_Singles/19_Hospital_SIngles/Hospital_Singles_386.png")</f>
        <v/>
      </c>
    </row>
    <row r="383" ht="39.75" customHeight="1">
      <c r="A383" s="14" t="s">
        <v>4320</v>
      </c>
      <c r="B383" s="16" t="str">
        <f>IMAGE("https://lmztiles.s3.eu-west-1.amazonaws.com/Modern_Interiors_v41.3.4/1_Interiors/16x16/Theme_Sorter_Singles/19_Hospital_SIngles/Hospital_Singles_387.png")</f>
        <v/>
      </c>
    </row>
    <row r="384" ht="39.75" customHeight="1">
      <c r="A384" s="14" t="s">
        <v>4321</v>
      </c>
      <c r="B384" s="16" t="str">
        <f>IMAGE("https://lmztiles.s3.eu-west-1.amazonaws.com/Modern_Interiors_v41.3.4/1_Interiors/16x16/Theme_Sorter_Singles/19_Hospital_SIngles/Hospital_Singles_388.png")</f>
        <v/>
      </c>
    </row>
    <row r="385" ht="39.75" customHeight="1">
      <c r="A385" s="14" t="s">
        <v>4322</v>
      </c>
      <c r="B385" s="16" t="str">
        <f>IMAGE("https://lmztiles.s3.eu-west-1.amazonaws.com/Modern_Interiors_v41.3.4/1_Interiors/16x16/Theme_Sorter_Singles/19_Hospital_SIngles/Hospital_Singles_389.png")</f>
        <v/>
      </c>
    </row>
    <row r="386" ht="39.75" customHeight="1">
      <c r="A386" s="14" t="s">
        <v>4323</v>
      </c>
      <c r="B386" s="16" t="str">
        <f>IMAGE("https://lmztiles.s3.eu-west-1.amazonaws.com/Modern_Interiors_v41.3.4/1_Interiors/16x16/Theme_Sorter_Singles/19_Hospital_SIngles/Hospital_Singles_390.png")</f>
        <v/>
      </c>
    </row>
    <row r="387" ht="39.75" customHeight="1">
      <c r="A387" s="14" t="s">
        <v>4324</v>
      </c>
      <c r="B387" s="16" t="str">
        <f>IMAGE("https://lmztiles.s3.eu-west-1.amazonaws.com/Modern_Interiors_v41.3.4/1_Interiors/16x16/Theme_Sorter_Singles/19_Hospital_SIngles/Hospital_Singles_391.png")</f>
        <v/>
      </c>
    </row>
    <row r="388" ht="39.75" customHeight="1">
      <c r="A388" s="14" t="s">
        <v>4325</v>
      </c>
      <c r="B388" s="16" t="str">
        <f>IMAGE("https://lmztiles.s3.eu-west-1.amazonaws.com/Modern_Interiors_v41.3.4/1_Interiors/16x16/Theme_Sorter_Singles/19_Hospital_SIngles/Hospital_Singles_392.png")</f>
        <v/>
      </c>
    </row>
    <row r="389" ht="39.75" customHeight="1">
      <c r="A389" s="14" t="s">
        <v>4326</v>
      </c>
      <c r="B389" s="16" t="str">
        <f>IMAGE("https://lmztiles.s3.eu-west-1.amazonaws.com/Modern_Interiors_v41.3.4/1_Interiors/16x16/Theme_Sorter_Singles/19_Hospital_SIngles/Hospital_Singles_393.png")</f>
        <v/>
      </c>
    </row>
    <row r="390" ht="39.75" customHeight="1">
      <c r="A390" s="14" t="s">
        <v>4327</v>
      </c>
      <c r="B390" s="16" t="str">
        <f>IMAGE("https://lmztiles.s3.eu-west-1.amazonaws.com/Modern_Interiors_v41.3.4/1_Interiors/16x16/Theme_Sorter_Singles/19_Hospital_SIngles/Hospital_Singles_394.png")</f>
        <v/>
      </c>
    </row>
    <row r="391" ht="39.75" customHeight="1">
      <c r="A391" s="14" t="s">
        <v>4328</v>
      </c>
      <c r="B391" s="16" t="str">
        <f>IMAGE("https://lmztiles.s3.eu-west-1.amazonaws.com/Modern_Interiors_v41.3.4/1_Interiors/16x16/Theme_Sorter_Singles/19_Hospital_SIngles/Hospital_Singles_395.png")</f>
        <v/>
      </c>
    </row>
    <row r="392" ht="39.75" customHeight="1">
      <c r="A392" s="14" t="s">
        <v>4329</v>
      </c>
      <c r="B392" s="16" t="str">
        <f>IMAGE("https://lmztiles.s3.eu-west-1.amazonaws.com/Modern_Interiors_v41.3.4/1_Interiors/16x16/Theme_Sorter_Singles/19_Hospital_SIngles/Hospital_Singles_396.png")</f>
        <v/>
      </c>
    </row>
    <row r="393" ht="39.75" customHeight="1">
      <c r="A393" s="14" t="s">
        <v>4330</v>
      </c>
      <c r="B393" s="16" t="str">
        <f>IMAGE("https://lmztiles.s3.eu-west-1.amazonaws.com/Modern_Interiors_v41.3.4/1_Interiors/16x16/Theme_Sorter_Singles/19_Hospital_SIngles/Hospital_Singles_397.png")</f>
        <v/>
      </c>
    </row>
    <row r="394" ht="39.75" customHeight="1">
      <c r="A394" s="14" t="s">
        <v>4331</v>
      </c>
      <c r="B394" s="16" t="str">
        <f>IMAGE("https://lmztiles.s3.eu-west-1.amazonaws.com/Modern_Interiors_v41.3.4/1_Interiors/16x16/Theme_Sorter_Singles/19_Hospital_SIngles/Hospital_Singles_398.png")</f>
        <v/>
      </c>
    </row>
    <row r="395" ht="39.75" customHeight="1">
      <c r="A395" s="14" t="s">
        <v>4332</v>
      </c>
      <c r="B395" s="16" t="str">
        <f>IMAGE("https://lmztiles.s3.eu-west-1.amazonaws.com/Modern_Interiors_v41.3.4/1_Interiors/16x16/Theme_Sorter_Singles/19_Hospital_SIngles/Hospital_Singles_399.png")</f>
        <v/>
      </c>
    </row>
    <row r="396" ht="39.75" customHeight="1">
      <c r="A396" s="14" t="s">
        <v>4333</v>
      </c>
      <c r="B396" s="16" t="str">
        <f>IMAGE("https://lmztiles.s3.eu-west-1.amazonaws.com/Modern_Interiors_v41.3.4/1_Interiors/16x16/Theme_Sorter_Singles/19_Hospital_SIngles/Hospital_Singles_400.png")</f>
        <v/>
      </c>
    </row>
    <row r="397" ht="39.75" customHeight="1">
      <c r="A397" s="14" t="s">
        <v>4334</v>
      </c>
      <c r="B397" s="16" t="str">
        <f>IMAGE("https://lmztiles.s3.eu-west-1.amazonaws.com/Modern_Interiors_v41.3.4/1_Interiors/16x16/Theme_Sorter_Singles/19_Hospital_SIngles/Hospital_Singles_401.png")</f>
        <v/>
      </c>
    </row>
    <row r="398" ht="39.75" customHeight="1">
      <c r="A398" s="14" t="s">
        <v>4335</v>
      </c>
      <c r="B398" s="16" t="str">
        <f>IMAGE("https://lmztiles.s3.eu-west-1.amazonaws.com/Modern_Interiors_v41.3.4/1_Interiors/16x16/Theme_Sorter_Singles/19_Hospital_SIngles/Hospital_Singles_402.png")</f>
        <v/>
      </c>
    </row>
    <row r="399" ht="39.75" customHeight="1">
      <c r="A399" s="14" t="s">
        <v>4336</v>
      </c>
      <c r="B399" s="16" t="str">
        <f>IMAGE("https://lmztiles.s3.eu-west-1.amazonaws.com/Modern_Interiors_v41.3.4/1_Interiors/16x16/Theme_Sorter_Singles/19_Hospital_SIngles/Hospital_Singles_403.png")</f>
        <v/>
      </c>
    </row>
    <row r="400" ht="39.75" customHeight="1">
      <c r="A400" s="14" t="s">
        <v>4337</v>
      </c>
      <c r="B400" s="16" t="str">
        <f>IMAGE("https://lmztiles.s3.eu-west-1.amazonaws.com/Modern_Interiors_v41.3.4/1_Interiors/16x16/Theme_Sorter_Singles/19_Hospital_SIngles/Hospital_Singles_404.png")</f>
        <v/>
      </c>
    </row>
    <row r="401" ht="39.75" customHeight="1">
      <c r="A401" s="14" t="s">
        <v>4338</v>
      </c>
      <c r="B401" s="16" t="str">
        <f>IMAGE("https://lmztiles.s3.eu-west-1.amazonaws.com/Modern_Interiors_v41.3.4/1_Interiors/16x16/Theme_Sorter_Singles/19_Hospital_SIngles/Hospital_Singles_405.png")</f>
        <v/>
      </c>
    </row>
    <row r="402" ht="39.75" customHeight="1">
      <c r="A402" s="14" t="s">
        <v>4339</v>
      </c>
      <c r="B402" s="16" t="str">
        <f>IMAGE("https://lmztiles.s3.eu-west-1.amazonaws.com/Modern_Interiors_v41.3.4/1_Interiors/16x16/Theme_Sorter_Singles/19_Hospital_SIngles/Hospital_Singles_406.png")</f>
        <v/>
      </c>
    </row>
    <row r="403" ht="39.75" customHeight="1">
      <c r="A403" s="14" t="s">
        <v>4340</v>
      </c>
      <c r="B403" s="16" t="str">
        <f>IMAGE("https://lmztiles.s3.eu-west-1.amazonaws.com/Modern_Interiors_v41.3.4/1_Interiors/16x16/Theme_Sorter_Singles/19_Hospital_SIngles/Hospital_Singles_407.png")</f>
        <v/>
      </c>
    </row>
    <row r="404" ht="39.75" customHeight="1">
      <c r="A404" s="14" t="s">
        <v>4341</v>
      </c>
      <c r="B404" s="16" t="str">
        <f>IMAGE("https://lmztiles.s3.eu-west-1.amazonaws.com/Modern_Interiors_v41.3.4/1_Interiors/16x16/Theme_Sorter_Singles/19_Hospital_SIngles/Hospital_Singles_408.png")</f>
        <v/>
      </c>
    </row>
    <row r="405" ht="39.75" customHeight="1">
      <c r="A405" s="14" t="s">
        <v>4342</v>
      </c>
      <c r="B405" s="16" t="str">
        <f>IMAGE("https://lmztiles.s3.eu-west-1.amazonaws.com/Modern_Interiors_v41.3.4/1_Interiors/16x16/Theme_Sorter_Singles/19_Hospital_SIngles/Hospital_Singles_409.png")</f>
        <v/>
      </c>
    </row>
    <row r="406" ht="39.75" customHeight="1">
      <c r="A406" s="14" t="s">
        <v>4343</v>
      </c>
      <c r="B406" s="16" t="str">
        <f>IMAGE("https://lmztiles.s3.eu-west-1.amazonaws.com/Modern_Interiors_v41.3.4/1_Interiors/16x16/Theme_Sorter_Singles/19_Hospital_SIngles/Hospital_Singles_410.png")</f>
        <v/>
      </c>
    </row>
    <row r="407" ht="39.75" customHeight="1">
      <c r="A407" s="14" t="s">
        <v>4344</v>
      </c>
      <c r="B407" s="16" t="str">
        <f>IMAGE("https://lmztiles.s3.eu-west-1.amazonaws.com/Modern_Interiors_v41.3.4/1_Interiors/16x16/Theme_Sorter_Singles/19_Hospital_SIngles/Hospital_Singles_411.png")</f>
        <v/>
      </c>
    </row>
    <row r="408" ht="39.75" customHeight="1">
      <c r="A408" s="14" t="s">
        <v>4345</v>
      </c>
      <c r="B408" s="16" t="str">
        <f>IMAGE("https://lmztiles.s3.eu-west-1.amazonaws.com/Modern_Interiors_v41.3.4/1_Interiors/16x16/Theme_Sorter_Singles/19_Hospital_SIngles/Hospital_Singles_412.png")</f>
        <v/>
      </c>
    </row>
    <row r="409" ht="39.75" customHeight="1">
      <c r="A409" s="14" t="s">
        <v>4346</v>
      </c>
      <c r="B409" s="16" t="str">
        <f>IMAGE("https://lmztiles.s3.eu-west-1.amazonaws.com/Modern_Interiors_v41.3.4/1_Interiors/16x16/Theme_Sorter_Singles/19_Hospital_SIngles/Hospital_Singles_413.png")</f>
        <v/>
      </c>
    </row>
    <row r="410" ht="39.75" customHeight="1">
      <c r="A410" s="14" t="s">
        <v>4347</v>
      </c>
      <c r="B410" s="16" t="str">
        <f>IMAGE("https://lmztiles.s3.eu-west-1.amazonaws.com/Modern_Interiors_v41.3.4/1_Interiors/16x16/Theme_Sorter_Singles/19_Hospital_SIngles/Hospital_Singles_414.png")</f>
        <v/>
      </c>
    </row>
    <row r="411" ht="39.75" customHeight="1">
      <c r="A411" s="14" t="s">
        <v>4348</v>
      </c>
      <c r="B411" s="16" t="str">
        <f>IMAGE("https://lmztiles.s3.eu-west-1.amazonaws.com/Modern_Interiors_v41.3.4/1_Interiors/16x16/Theme_Sorter_Singles/19_Hospital_SIngles/Hospital_Singles_415.png")</f>
        <v/>
      </c>
    </row>
    <row r="412" ht="39.75" customHeight="1">
      <c r="A412" s="14" t="s">
        <v>4349</v>
      </c>
      <c r="B412" s="16" t="str">
        <f>IMAGE("https://lmztiles.s3.eu-west-1.amazonaws.com/Modern_Interiors_v41.3.4/1_Interiors/16x16/Theme_Sorter_Singles/19_Hospital_SIngles/Hospital_Singles_416.png")</f>
        <v/>
      </c>
    </row>
    <row r="413" ht="39.75" customHeight="1">
      <c r="A413" s="14" t="s">
        <v>4350</v>
      </c>
      <c r="B413" s="16" t="str">
        <f>IMAGE("https://lmztiles.s3.eu-west-1.amazonaws.com/Modern_Interiors_v41.3.4/1_Interiors/16x16/Theme_Sorter_Singles/19_Hospital_SIngles/Hospital_Singles_417.png")</f>
        <v/>
      </c>
    </row>
    <row r="414" ht="39.75" customHeight="1">
      <c r="A414" s="14" t="s">
        <v>4351</v>
      </c>
      <c r="B414" s="16" t="str">
        <f>IMAGE("https://lmztiles.s3.eu-west-1.amazonaws.com/Modern_Interiors_v41.3.4/1_Interiors/16x16/Theme_Sorter_Singles/19_Hospital_SIngles/Hospital_Singles_418.png")</f>
        <v/>
      </c>
    </row>
    <row r="415" ht="39.75" customHeight="1">
      <c r="A415" s="14" t="s">
        <v>4352</v>
      </c>
      <c r="B415" s="16" t="str">
        <f>IMAGE("https://lmztiles.s3.eu-west-1.amazonaws.com/Modern_Interiors_v41.3.4/1_Interiors/16x16/Theme_Sorter_Singles/19_Hospital_SIngles/Hospital_Singles_419.png")</f>
        <v/>
      </c>
    </row>
    <row r="416" ht="39.75" customHeight="1">
      <c r="A416" s="14" t="s">
        <v>4353</v>
      </c>
      <c r="B416" s="16" t="str">
        <f>IMAGE("https://lmztiles.s3.eu-west-1.amazonaws.com/Modern_Interiors_v41.3.4/1_Interiors/16x16/Theme_Sorter_Singles/19_Hospital_SIngles/Hospital_Singles_420.png")</f>
        <v/>
      </c>
    </row>
    <row r="417" ht="39.75" customHeight="1">
      <c r="A417" s="14" t="s">
        <v>4354</v>
      </c>
      <c r="B417" s="16" t="str">
        <f>IMAGE("https://lmztiles.s3.eu-west-1.amazonaws.com/Modern_Interiors_v41.3.4/1_Interiors/16x16/Theme_Sorter_Singles/19_Hospital_SIngles/Hospital_Singles_421.png")</f>
        <v/>
      </c>
    </row>
    <row r="418" ht="39.75" customHeight="1">
      <c r="A418" s="14" t="s">
        <v>4355</v>
      </c>
      <c r="B418" s="16" t="str">
        <f>IMAGE("https://lmztiles.s3.eu-west-1.amazonaws.com/Modern_Interiors_v41.3.4/1_Interiors/16x16/Theme_Sorter_Singles/19_Hospital_SIngles/Hospital_Singles_422.png")</f>
        <v/>
      </c>
    </row>
    <row r="419" ht="39.75" customHeight="1">
      <c r="A419" s="14" t="s">
        <v>4356</v>
      </c>
      <c r="B419" s="16" t="str">
        <f>IMAGE("https://lmztiles.s3.eu-west-1.amazonaws.com/Modern_Interiors_v41.3.4/1_Interiors/16x16/Theme_Sorter_Singles/19_Hospital_SIngles/Hospital_Singles_423.png")</f>
        <v/>
      </c>
    </row>
    <row r="420" ht="39.75" customHeight="1">
      <c r="A420" s="14" t="s">
        <v>4357</v>
      </c>
      <c r="B420" s="16" t="str">
        <f>IMAGE("https://lmztiles.s3.eu-west-1.amazonaws.com/Modern_Interiors_v41.3.4/1_Interiors/16x16/Theme_Sorter_Singles/19_Hospital_SIngles/Hospital_Singles_424.png")</f>
        <v/>
      </c>
    </row>
    <row r="421" ht="39.75" customHeight="1">
      <c r="A421" s="14" t="s">
        <v>4358</v>
      </c>
      <c r="B421" s="16" t="str">
        <f>IMAGE("https://lmztiles.s3.eu-west-1.amazonaws.com/Modern_Interiors_v41.3.4/1_Interiors/16x16/Theme_Sorter_Singles/19_Hospital_SIngles/Hospital_Singles_425.png")</f>
        <v/>
      </c>
    </row>
    <row r="422" ht="39.75" customHeight="1">
      <c r="A422" s="14" t="s">
        <v>4359</v>
      </c>
      <c r="B422" s="16" t="str">
        <f>IMAGE("https://lmztiles.s3.eu-west-1.amazonaws.com/Modern_Interiors_v41.3.4/1_Interiors/16x16/Theme_Sorter_Singles/19_Hospital_SIngles/Hospital_Singles_426.png")</f>
        <v/>
      </c>
    </row>
    <row r="423" ht="39.75" customHeight="1">
      <c r="A423" s="14" t="s">
        <v>4360</v>
      </c>
      <c r="B423" s="16" t="str">
        <f>IMAGE("https://lmztiles.s3.eu-west-1.amazonaws.com/Modern_Interiors_v41.3.4/1_Interiors/16x16/Theme_Sorter_Singles/19_Hospital_SIngles/Hospital_Singles_427.png")</f>
        <v/>
      </c>
    </row>
    <row r="424" ht="39.75" customHeight="1">
      <c r="A424" s="14" t="s">
        <v>4361</v>
      </c>
      <c r="B424" s="16" t="str">
        <f>IMAGE("https://lmztiles.s3.eu-west-1.amazonaws.com/Modern_Interiors_v41.3.4/1_Interiors/16x16/Theme_Sorter_Singles/19_Hospital_SIngles/Hospital_Singles_428.png")</f>
        <v/>
      </c>
    </row>
    <row r="425" ht="39.75" customHeight="1">
      <c r="A425" s="14" t="s">
        <v>4362</v>
      </c>
      <c r="B425" s="16" t="str">
        <f>IMAGE("https://lmztiles.s3.eu-west-1.amazonaws.com/Modern_Interiors_v41.3.4/1_Interiors/16x16/Theme_Sorter_Singles/19_Hospital_SIngles/Hospital_Singles_429.png")</f>
        <v/>
      </c>
    </row>
    <row r="426" ht="39.75" customHeight="1">
      <c r="A426" s="14" t="s">
        <v>4363</v>
      </c>
      <c r="B426" s="16" t="str">
        <f>IMAGE("https://lmztiles.s3.eu-west-1.amazonaws.com/Modern_Interiors_v41.3.4/1_Interiors/16x16/Theme_Sorter_Singles/19_Hospital_SIngles/Hospital_Singles_430.png")</f>
        <v/>
      </c>
    </row>
    <row r="427" ht="39.75" customHeight="1">
      <c r="A427" s="14" t="s">
        <v>4364</v>
      </c>
      <c r="B427" s="16" t="str">
        <f>IMAGE("https://lmztiles.s3.eu-west-1.amazonaws.com/Modern_Interiors_v41.3.4/1_Interiors/16x16/Theme_Sorter_Singles/19_Hospital_SIngles/Hospital_Singles_431.png")</f>
        <v/>
      </c>
    </row>
    <row r="428" ht="39.75" customHeight="1">
      <c r="A428" s="14" t="s">
        <v>4365</v>
      </c>
      <c r="B428" s="16" t="str">
        <f>IMAGE("https://lmztiles.s3.eu-west-1.amazonaws.com/Modern_Interiors_v41.3.4/1_Interiors/16x16/Theme_Sorter_Singles/19_Hospital_SIngles/Hospital_Singles_432.png")</f>
        <v/>
      </c>
    </row>
    <row r="429" ht="39.75" customHeight="1">
      <c r="A429" s="14" t="s">
        <v>4366</v>
      </c>
      <c r="B429" s="16" t="str">
        <f>IMAGE("https://lmztiles.s3.eu-west-1.amazonaws.com/Modern_Interiors_v41.3.4/1_Interiors/16x16/Theme_Sorter_Singles/19_Hospital_SIngles/Hospital_Singles_433.png")</f>
        <v/>
      </c>
    </row>
    <row r="430" ht="39.75" customHeight="1">
      <c r="A430" s="14" t="s">
        <v>4367</v>
      </c>
      <c r="B430" s="16" t="str">
        <f>IMAGE("https://lmztiles.s3.eu-west-1.amazonaws.com/Modern_Interiors_v41.3.4/1_Interiors/16x16/Theme_Sorter_Singles/19_Hospital_SIngles/Hospital_Singles_434.png")</f>
        <v/>
      </c>
    </row>
    <row r="431" ht="39.75" customHeight="1">
      <c r="A431" s="14" t="s">
        <v>4368</v>
      </c>
      <c r="B431" s="16" t="str">
        <f>IMAGE("https://lmztiles.s3.eu-west-1.amazonaws.com/Modern_Interiors_v41.3.4/1_Interiors/16x16/Theme_Sorter_Singles/19_Hospital_SIngles/Hospital_Singles_435.png")</f>
        <v/>
      </c>
    </row>
    <row r="432" ht="39.75" customHeight="1">
      <c r="A432" s="14" t="s">
        <v>4369</v>
      </c>
      <c r="B432" s="16" t="str">
        <f>IMAGE("https://lmztiles.s3.eu-west-1.amazonaws.com/Modern_Interiors_v41.3.4/1_Interiors/16x16/Theme_Sorter_Singles/19_Hospital_SIngles/Hospital_Singles_436.png")</f>
        <v/>
      </c>
    </row>
    <row r="433" ht="39.75" customHeight="1">
      <c r="A433" s="14" t="s">
        <v>4370</v>
      </c>
      <c r="B433" s="16" t="str">
        <f>IMAGE("https://lmztiles.s3.eu-west-1.amazonaws.com/Modern_Interiors_v41.3.4/1_Interiors/16x16/Theme_Sorter_Singles/19_Hospital_SIngles/Hospital_Singles_437.png")</f>
        <v/>
      </c>
    </row>
    <row r="434" ht="39.75" customHeight="1">
      <c r="A434" s="14" t="s">
        <v>4371</v>
      </c>
      <c r="B434" s="16" t="str">
        <f>IMAGE("https://lmztiles.s3.eu-west-1.amazonaws.com/Modern_Interiors_v41.3.4/1_Interiors/16x16/Theme_Sorter_Singles/19_Hospital_SIngles/Hospital_Singles_438.png")</f>
        <v/>
      </c>
    </row>
    <row r="435" ht="39.75" customHeight="1">
      <c r="A435" s="14" t="s">
        <v>4372</v>
      </c>
      <c r="B435" s="16" t="str">
        <f>IMAGE("https://lmztiles.s3.eu-west-1.amazonaws.com/Modern_Interiors_v41.3.4/1_Interiors/16x16/Theme_Sorter_Singles/19_Hospital_SIngles/Hospital_Singles_439.png")</f>
        <v/>
      </c>
    </row>
    <row r="436" ht="39.75" customHeight="1">
      <c r="A436" s="14" t="s">
        <v>4373</v>
      </c>
      <c r="B436" s="16" t="str">
        <f>IMAGE("https://lmztiles.s3.eu-west-1.amazonaws.com/Modern_Interiors_v41.3.4/1_Interiors/16x16/Theme_Sorter_Singles/19_Hospital_SIngles/Hospital_Singles_440.png")</f>
        <v/>
      </c>
    </row>
    <row r="437" ht="39.75" customHeight="1">
      <c r="A437" s="14" t="s">
        <v>4374</v>
      </c>
      <c r="B437" s="16" t="str">
        <f>IMAGE("https://lmztiles.s3.eu-west-1.amazonaws.com/Modern_Interiors_v41.3.4/1_Interiors/16x16/Theme_Sorter_Singles/19_Hospital_SIngles/Hospital_Singles_441.png")</f>
        <v/>
      </c>
    </row>
    <row r="438" ht="39.75" customHeight="1">
      <c r="A438" s="14" t="s">
        <v>4375</v>
      </c>
      <c r="B438" s="16" t="str">
        <f>IMAGE("https://lmztiles.s3.eu-west-1.amazonaws.com/Modern_Interiors_v41.3.4/1_Interiors/16x16/Theme_Sorter_Singles/19_Hospital_SIngles/Hospital_Singles_442.png")</f>
        <v/>
      </c>
    </row>
    <row r="439" ht="39.75" customHeight="1">
      <c r="A439" s="14" t="s">
        <v>4376</v>
      </c>
      <c r="B439" s="16" t="str">
        <f>IMAGE("https://lmztiles.s3.eu-west-1.amazonaws.com/Modern_Interiors_v41.3.4/1_Interiors/16x16/Theme_Sorter_Singles/19_Hospital_SIngles/Hospital_Singles_443.png")</f>
        <v/>
      </c>
    </row>
    <row r="440" ht="39.75" customHeight="1">
      <c r="A440" s="14" t="s">
        <v>4377</v>
      </c>
      <c r="B440" s="16" t="str">
        <f>IMAGE("https://lmztiles.s3.eu-west-1.amazonaws.com/Modern_Interiors_v41.3.4/1_Interiors/16x16/Theme_Sorter_Singles/19_Hospital_SIngles/Hospital_Singles_444.png")</f>
        <v/>
      </c>
    </row>
    <row r="441" ht="39.75" customHeight="1">
      <c r="A441" s="14" t="s">
        <v>4378</v>
      </c>
      <c r="B441" s="16" t="str">
        <f>IMAGE("https://lmztiles.s3.eu-west-1.amazonaws.com/Modern_Interiors_v41.3.4/1_Interiors/16x16/Theme_Sorter_Singles/19_Hospital_SIngles/Hospital_Singles_445.png")</f>
        <v/>
      </c>
    </row>
    <row r="442" ht="39.75" customHeight="1">
      <c r="A442" s="14" t="s">
        <v>4379</v>
      </c>
      <c r="B442" s="16" t="str">
        <f>IMAGE("https://lmztiles.s3.eu-west-1.amazonaws.com/Modern_Interiors_v41.3.4/1_Interiors/16x16/Theme_Sorter_Singles/19_Hospital_SIngles/Hospital_Singles_446.png")</f>
        <v/>
      </c>
    </row>
    <row r="443" ht="39.75" customHeight="1">
      <c r="A443" s="14" t="s">
        <v>4380</v>
      </c>
      <c r="B443" s="16" t="str">
        <f>IMAGE("https://lmztiles.s3.eu-west-1.amazonaws.com/Modern_Interiors_v41.3.4/1_Interiors/16x16/Theme_Sorter_Singles/19_Hospital_SIngles/Hospital_Singles_447.png")</f>
        <v/>
      </c>
    </row>
    <row r="444" ht="39.75" customHeight="1">
      <c r="A444" s="14" t="s">
        <v>4381</v>
      </c>
      <c r="B444" s="16" t="str">
        <f>IMAGE("https://lmztiles.s3.eu-west-1.amazonaws.com/Modern_Interiors_v41.3.4/1_Interiors/16x16/Theme_Sorter_Singles/19_Hospital_SIngles/Hospital_Singles_448.png")</f>
        <v/>
      </c>
    </row>
    <row r="445" ht="39.75" customHeight="1">
      <c r="A445" s="14" t="s">
        <v>4382</v>
      </c>
      <c r="B445" s="16" t="str">
        <f>IMAGE("https://lmztiles.s3.eu-west-1.amazonaws.com/Modern_Interiors_v41.3.4/1_Interiors/16x16/Theme_Sorter_Singles/19_Hospital_SIngles/Hospital_Singles_449.png")</f>
        <v/>
      </c>
    </row>
    <row r="446" ht="39.75" customHeight="1">
      <c r="A446" s="14" t="s">
        <v>4383</v>
      </c>
      <c r="B446" s="16" t="str">
        <f>IMAGE("https://lmztiles.s3.eu-west-1.amazonaws.com/Modern_Interiors_v41.3.4/1_Interiors/16x16/Theme_Sorter_Singles/19_Hospital_SIngles/Hospital_Singles_450.png")</f>
        <v/>
      </c>
    </row>
    <row r="447" ht="39.75" customHeight="1">
      <c r="A447" s="14" t="s">
        <v>4384</v>
      </c>
      <c r="B447" s="16" t="str">
        <f>IMAGE("https://lmztiles.s3.eu-west-1.amazonaws.com/Modern_Interiors_v41.3.4/1_Interiors/16x16/Theme_Sorter_Singles/19_Hospital_SIngles/Hospital_Singles_451.png")</f>
        <v/>
      </c>
    </row>
    <row r="448" ht="39.75" customHeight="1">
      <c r="A448" s="14" t="s">
        <v>4385</v>
      </c>
      <c r="B448" s="16" t="str">
        <f>IMAGE("https://lmztiles.s3.eu-west-1.amazonaws.com/Modern_Interiors_v41.3.4/1_Interiors/16x16/Theme_Sorter_Singles/19_Hospital_SIngles/Hospital_Singles_452.png")</f>
        <v/>
      </c>
    </row>
    <row r="449" ht="39.75" customHeight="1">
      <c r="A449" s="14" t="s">
        <v>4386</v>
      </c>
      <c r="B449" s="16" t="str">
        <f>IMAGE("https://lmztiles.s3.eu-west-1.amazonaws.com/Modern_Interiors_v41.3.4/1_Interiors/16x16/Theme_Sorter_Singles/19_Hospital_SIngles/Hospital_Singles_453.png")</f>
        <v/>
      </c>
    </row>
    <row r="450" ht="39.75" customHeight="1">
      <c r="A450" s="14" t="s">
        <v>4387</v>
      </c>
      <c r="B450" s="16" t="str">
        <f>IMAGE("https://lmztiles.s3.eu-west-1.amazonaws.com/Modern_Interiors_v41.3.4/1_Interiors/16x16/Theme_Sorter_Singles/19_Hospital_SIngles/Hospital_Singles_454.png")</f>
        <v/>
      </c>
    </row>
    <row r="451" ht="39.75" customHeight="1">
      <c r="A451" s="14" t="s">
        <v>4388</v>
      </c>
      <c r="B451" s="16" t="str">
        <f>IMAGE("https://lmztiles.s3.eu-west-1.amazonaws.com/Modern_Interiors_v41.3.4/1_Interiors/16x16/Theme_Sorter_Singles/19_Hospital_SIngles/Hospital_Singles_455.png")</f>
        <v/>
      </c>
    </row>
    <row r="452" ht="39.75" customHeight="1">
      <c r="A452" s="14" t="s">
        <v>4389</v>
      </c>
      <c r="B452" s="16" t="str">
        <f>IMAGE("https://lmztiles.s3.eu-west-1.amazonaws.com/Modern_Interiors_v41.3.4/1_Interiors/16x16/Theme_Sorter_Singles/19_Hospital_SIngles/Hospital_Singles_456.png")</f>
        <v/>
      </c>
    </row>
    <row r="453" ht="39.75" customHeight="1">
      <c r="A453" s="14" t="s">
        <v>4390</v>
      </c>
      <c r="B453" s="16" t="str">
        <f>IMAGE("https://lmztiles.s3.eu-west-1.amazonaws.com/Modern_Interiors_v41.3.4/1_Interiors/16x16/Theme_Sorter_Singles/19_Hospital_SIngles/Hospital_Singles_457.png")</f>
        <v/>
      </c>
    </row>
    <row r="454" ht="39.75" customHeight="1">
      <c r="A454" s="14" t="s">
        <v>4391</v>
      </c>
      <c r="B454" s="16" t="str">
        <f>IMAGE("https://lmztiles.s3.eu-west-1.amazonaws.com/Modern_Interiors_v41.3.4/1_Interiors/16x16/Theme_Sorter_Singles/19_Hospital_SIngles/Hospital_Singles_458.png")</f>
        <v/>
      </c>
    </row>
    <row r="455" ht="39.75" customHeight="1">
      <c r="A455" s="14" t="s">
        <v>4392</v>
      </c>
      <c r="B455" s="16" t="str">
        <f>IMAGE("https://lmztiles.s3.eu-west-1.amazonaws.com/Modern_Interiors_v41.3.4/1_Interiors/16x16/Theme_Sorter_Singles/19_Hospital_SIngles/Hospital_Singles_459.png")</f>
        <v/>
      </c>
    </row>
    <row r="456" ht="39.75" customHeight="1">
      <c r="A456" s="14" t="s">
        <v>4393</v>
      </c>
      <c r="B456" s="16" t="str">
        <f>IMAGE("https://lmztiles.s3.eu-west-1.amazonaws.com/Modern_Interiors_v41.3.4/1_Interiors/16x16/Theme_Sorter_Singles/19_Hospital_SIngles/Hospital_Singles_460.png")</f>
        <v/>
      </c>
    </row>
    <row r="457" ht="39.75" customHeight="1">
      <c r="A457" s="14" t="s">
        <v>4394</v>
      </c>
      <c r="B457" s="16" t="str">
        <f>IMAGE("https://lmztiles.s3.eu-west-1.amazonaws.com/Modern_Interiors_v41.3.4/1_Interiors/16x16/Theme_Sorter_Singles/19_Hospital_SIngles/Hospital_Singles_461.png")</f>
        <v/>
      </c>
    </row>
    <row r="458" ht="39.75" customHeight="1">
      <c r="A458" s="14" t="s">
        <v>4395</v>
      </c>
      <c r="B458" s="16" t="str">
        <f>IMAGE("https://lmztiles.s3.eu-west-1.amazonaws.com/Modern_Interiors_v41.3.4/1_Interiors/16x16/Theme_Sorter_Singles/19_Hospital_SIngles/Hospital_Singles_462.png")</f>
        <v/>
      </c>
    </row>
    <row r="459" ht="39.75" customHeight="1">
      <c r="A459" s="14" t="s">
        <v>4396</v>
      </c>
      <c r="B459" s="16" t="str">
        <f>IMAGE("https://lmztiles.s3.eu-west-1.amazonaws.com/Modern_Interiors_v41.3.4/1_Interiors/16x16/Theme_Sorter_Singles/19_Hospital_SIngles/Hospital_Singles_463.png")</f>
        <v/>
      </c>
    </row>
    <row r="460" ht="39.75" customHeight="1">
      <c r="A460" s="14" t="s">
        <v>4397</v>
      </c>
      <c r="B460" s="16" t="str">
        <f>IMAGE("https://lmztiles.s3.eu-west-1.amazonaws.com/Modern_Interiors_v41.3.4/1_Interiors/16x16/Theme_Sorter_Singles/19_Hospital_SIngles/Hospital_Singles_464.png")</f>
        <v/>
      </c>
    </row>
    <row r="461" ht="39.75" customHeight="1">
      <c r="A461" s="14" t="s">
        <v>4398</v>
      </c>
      <c r="B461" s="16" t="str">
        <f>IMAGE("https://lmztiles.s3.eu-west-1.amazonaws.com/Modern_Interiors_v41.3.4/1_Interiors/16x16/Theme_Sorter_Singles/19_Hospital_SIngles/Hospital_Singles_465.png")</f>
        <v/>
      </c>
    </row>
    <row r="462" ht="39.75" customHeight="1">
      <c r="A462" s="14" t="s">
        <v>4399</v>
      </c>
      <c r="B462" s="16" t="str">
        <f>IMAGE("https://lmztiles.s3.eu-west-1.amazonaws.com/Modern_Interiors_v41.3.4/1_Interiors/16x16/Theme_Sorter_Singles/19_Hospital_SIngles/Hospital_Singles_466.png")</f>
        <v/>
      </c>
    </row>
    <row r="463" ht="39.75" customHeight="1">
      <c r="A463" s="14" t="s">
        <v>4400</v>
      </c>
      <c r="B463" s="16" t="str">
        <f>IMAGE("https://lmztiles.s3.eu-west-1.amazonaws.com/Modern_Interiors_v41.3.4/1_Interiors/16x16/Theme_Sorter_Singles/19_Hospital_SIngles/Hospital_Singles_467.png")</f>
        <v/>
      </c>
    </row>
    <row r="464" ht="39.75" customHeight="1">
      <c r="A464" s="14" t="s">
        <v>4401</v>
      </c>
      <c r="B464" s="16" t="str">
        <f>IMAGE("https://lmztiles.s3.eu-west-1.amazonaws.com/Modern_Interiors_v41.3.4/1_Interiors/16x16/Theme_Sorter_Singles/19_Hospital_SIngles/Hospital_Singles_468.png")</f>
        <v/>
      </c>
    </row>
    <row r="465" ht="39.75" customHeight="1">
      <c r="A465" s="14" t="s">
        <v>4402</v>
      </c>
      <c r="B465" s="16" t="str">
        <f>IMAGE("https://lmztiles.s3.eu-west-1.amazonaws.com/Modern_Interiors_v41.3.4/1_Interiors/16x16/Theme_Sorter_Singles/19_Hospital_SIngles/Hospital_Singles_469.png")</f>
        <v/>
      </c>
    </row>
    <row r="466" ht="39.75" customHeight="1">
      <c r="A466" s="14" t="s">
        <v>4403</v>
      </c>
      <c r="B466" s="16" t="str">
        <f>IMAGE("https://lmztiles.s3.eu-west-1.amazonaws.com/Modern_Interiors_v41.3.4/1_Interiors/16x16/Theme_Sorter_Singles/19_Hospital_SIngles/Hospital_Singles_470.png")</f>
        <v/>
      </c>
    </row>
    <row r="467" ht="39.75" customHeight="1">
      <c r="A467" s="14" t="s">
        <v>4404</v>
      </c>
      <c r="B467" s="16" t="str">
        <f>IMAGE("https://lmztiles.s3.eu-west-1.amazonaws.com/Modern_Interiors_v41.3.4/1_Interiors/16x16/Theme_Sorter_Singles/19_Hospital_SIngles/Hospital_Singles_471.png")</f>
        <v/>
      </c>
    </row>
    <row r="468" ht="39.75" customHeight="1">
      <c r="A468" s="14" t="s">
        <v>4405</v>
      </c>
      <c r="B468" s="16" t="str">
        <f>IMAGE("https://lmztiles.s3.eu-west-1.amazonaws.com/Modern_Interiors_v41.3.4/1_Interiors/16x16/Theme_Sorter_Singles/19_Hospital_SIngles/Hospital_Singles_472.png")</f>
        <v/>
      </c>
    </row>
    <row r="469" ht="39.75" customHeight="1">
      <c r="A469" s="14" t="s">
        <v>4406</v>
      </c>
      <c r="B469" s="16" t="str">
        <f>IMAGE("https://lmztiles.s3.eu-west-1.amazonaws.com/Modern_Interiors_v41.3.4/1_Interiors/16x16/Theme_Sorter_Singles/19_Hospital_SIngles/Hospital_Singles_473.png")</f>
        <v/>
      </c>
    </row>
    <row r="470" ht="39.75" customHeight="1">
      <c r="A470" s="14" t="s">
        <v>4407</v>
      </c>
      <c r="B470" s="16" t="str">
        <f>IMAGE("https://lmztiles.s3.eu-west-1.amazonaws.com/Modern_Interiors_v41.3.4/1_Interiors/16x16/Theme_Sorter_Singles/19_Hospital_SIngles/Hospital_Singles_474.png")</f>
        <v/>
      </c>
    </row>
    <row r="471" ht="39.75" customHeight="1">
      <c r="A471" s="14" t="s">
        <v>4408</v>
      </c>
      <c r="B471" s="16" t="str">
        <f>IMAGE("https://lmztiles.s3.eu-west-1.amazonaws.com/Modern_Interiors_v41.3.4/1_Interiors/16x16/Theme_Sorter_Singles/19_Hospital_SIngles/Hospital_Singles_475.png")</f>
        <v/>
      </c>
    </row>
    <row r="472" ht="39.75" customHeight="1">
      <c r="A472" s="14" t="s">
        <v>4409</v>
      </c>
      <c r="B472" s="16" t="str">
        <f>IMAGE("https://lmztiles.s3.eu-west-1.amazonaws.com/Modern_Interiors_v41.3.4/1_Interiors/16x16/Theme_Sorter_Singles/19_Hospital_SIngles/Hospital_Singles_476.png")</f>
        <v/>
      </c>
    </row>
    <row r="473" ht="39.75" customHeight="1">
      <c r="A473" s="14" t="s">
        <v>4410</v>
      </c>
      <c r="B473" s="16" t="str">
        <f>IMAGE("https://lmztiles.s3.eu-west-1.amazonaws.com/Modern_Interiors_v41.3.4/1_Interiors/16x16/Theme_Sorter_Singles/19_Hospital_SIngles/Hospital_Singles_477.png")</f>
        <v/>
      </c>
    </row>
    <row r="474" ht="39.75" customHeight="1">
      <c r="A474" s="14" t="s">
        <v>4411</v>
      </c>
      <c r="B474" s="16" t="str">
        <f>IMAGE("https://lmztiles.s3.eu-west-1.amazonaws.com/Modern_Interiors_v41.3.4/1_Interiors/16x16/Theme_Sorter_Singles/19_Hospital_SIngles/Hospital_Singles_478.png")</f>
        <v/>
      </c>
    </row>
    <row r="475" ht="39.75" customHeight="1">
      <c r="A475" s="14" t="s">
        <v>4412</v>
      </c>
      <c r="B475" s="16" t="str">
        <f>IMAGE("https://lmztiles.s3.eu-west-1.amazonaws.com/Modern_Interiors_v41.3.4/1_Interiors/16x16/Theme_Sorter_Singles/19_Hospital_SIngles/Hospital_Singles_479.png")</f>
        <v/>
      </c>
    </row>
    <row r="476" ht="39.75" customHeight="1">
      <c r="A476" s="14" t="s">
        <v>4413</v>
      </c>
      <c r="B476" s="16" t="str">
        <f>IMAGE("https://lmztiles.s3.eu-west-1.amazonaws.com/Modern_Interiors_v41.3.4/1_Interiors/16x16/Theme_Sorter_Singles/19_Hospital_SIngles/Hospital_Singles_480.png")</f>
        <v/>
      </c>
    </row>
    <row r="477" ht="39.75" customHeight="1">
      <c r="A477" s="14" t="s">
        <v>4414</v>
      </c>
      <c r="B477" s="16" t="str">
        <f>IMAGE("https://lmztiles.s3.eu-west-1.amazonaws.com/Modern_Interiors_v41.3.4/1_Interiors/16x16/Theme_Sorter_Singles/19_Hospital_SIngles/Hospital_Singles_481.png")</f>
        <v/>
      </c>
    </row>
    <row r="478" ht="39.75" customHeight="1">
      <c r="A478" s="14" t="s">
        <v>4415</v>
      </c>
      <c r="B478" s="16" t="str">
        <f>IMAGE("https://lmztiles.s3.eu-west-1.amazonaws.com/Modern_Interiors_v41.3.4/1_Interiors/16x16/Theme_Sorter_Singles/19_Hospital_SIngles/Hospital_Singles_482.png")</f>
        <v/>
      </c>
    </row>
    <row r="479" ht="39.75" customHeight="1">
      <c r="A479" s="14" t="s">
        <v>4416</v>
      </c>
      <c r="B479" s="16" t="str">
        <f>IMAGE("https://lmztiles.s3.eu-west-1.amazonaws.com/Modern_Interiors_v41.3.4/1_Interiors/16x16/Theme_Sorter_Singles/19_Hospital_SIngles/Hospital_Singles_483.png")</f>
        <v/>
      </c>
    </row>
    <row r="480" ht="39.75" customHeight="1">
      <c r="A480" s="14" t="s">
        <v>4417</v>
      </c>
      <c r="B480" s="16" t="str">
        <f>IMAGE("https://lmztiles.s3.eu-west-1.amazonaws.com/Modern_Interiors_v41.3.4/1_Interiors/16x16/Theme_Sorter_Singles/19_Hospital_SIngles/Hospital_Singles_484.png")</f>
        <v/>
      </c>
    </row>
    <row r="481" ht="39.75" customHeight="1">
      <c r="A481" s="14" t="s">
        <v>4418</v>
      </c>
      <c r="B481" s="16" t="str">
        <f>IMAGE("https://lmztiles.s3.eu-west-1.amazonaws.com/Modern_Interiors_v41.3.4/1_Interiors/16x16/Theme_Sorter_Singles/19_Hospital_SIngles/Hospital_Singles_485.png")</f>
        <v/>
      </c>
    </row>
    <row r="482" ht="39.75" customHeight="1">
      <c r="A482" s="14" t="s">
        <v>4419</v>
      </c>
      <c r="B482" s="16" t="str">
        <f>IMAGE("https://lmztiles.s3.eu-west-1.amazonaws.com/Modern_Interiors_v41.3.4/1_Interiors/16x16/Theme_Sorter_Singles/19_Hospital_SIngles/Hospital_Singles_486.png")</f>
        <v/>
      </c>
    </row>
    <row r="483" ht="39.75" customHeight="1">
      <c r="A483" s="14" t="s">
        <v>4420</v>
      </c>
      <c r="B483" s="16" t="str">
        <f>IMAGE("https://lmztiles.s3.eu-west-1.amazonaws.com/Modern_Interiors_v41.3.4/1_Interiors/16x16/Theme_Sorter_Singles/19_Hospital_SIngles/Hospital_Singles_487.png")</f>
        <v/>
      </c>
    </row>
    <row r="484" ht="39.75" customHeight="1">
      <c r="A484" s="14" t="s">
        <v>4421</v>
      </c>
      <c r="B484" s="16" t="str">
        <f>IMAGE("https://lmztiles.s3.eu-west-1.amazonaws.com/Modern_Interiors_v41.3.4/1_Interiors/16x16/Theme_Sorter_Singles/19_Hospital_SIngles/Hospital_Singles_488.png")</f>
        <v/>
      </c>
    </row>
    <row r="485" ht="39.75" customHeight="1">
      <c r="A485" s="14" t="s">
        <v>4422</v>
      </c>
      <c r="B485" s="16" t="str">
        <f>IMAGE("https://lmztiles.s3.eu-west-1.amazonaws.com/Modern_Interiors_v41.3.4/1_Interiors/16x16/Theme_Sorter_Singles/19_Hospital_SIngles/Hospital_Singles_489.png")</f>
        <v/>
      </c>
    </row>
    <row r="486" ht="39.75" customHeight="1">
      <c r="A486" s="14" t="s">
        <v>4423</v>
      </c>
      <c r="B486" s="16" t="str">
        <f>IMAGE("https://lmztiles.s3.eu-west-1.amazonaws.com/Modern_Interiors_v41.3.4/1_Interiors/16x16/Theme_Sorter_Singles/19_Hospital_SIngles/Hospital_Singles_490.png")</f>
        <v/>
      </c>
    </row>
    <row r="487" ht="39.75" customHeight="1">
      <c r="A487" s="14" t="s">
        <v>4424</v>
      </c>
      <c r="B487" s="16" t="str">
        <f>IMAGE("https://lmztiles.s3.eu-west-1.amazonaws.com/Modern_Interiors_v41.3.4/1_Interiors/16x16/Theme_Sorter_Singles/19_Hospital_SIngles/Hospital_Singles_491.png")</f>
        <v/>
      </c>
    </row>
    <row r="488" ht="39.75" customHeight="1">
      <c r="A488" s="14" t="s">
        <v>4425</v>
      </c>
      <c r="B488" s="16" t="str">
        <f>IMAGE("https://lmztiles.s3.eu-west-1.amazonaws.com/Modern_Interiors_v41.3.4/1_Interiors/16x16/Theme_Sorter_Singles/19_Hospital_SIngles/Hospital_Singles_492.png")</f>
        <v/>
      </c>
    </row>
    <row r="489" ht="39.75" customHeight="1">
      <c r="A489" s="14" t="s">
        <v>4426</v>
      </c>
      <c r="B489" s="16" t="str">
        <f>IMAGE("https://lmztiles.s3.eu-west-1.amazonaws.com/Modern_Interiors_v41.3.4/1_Interiors/16x16/Theme_Sorter_Singles/19_Hospital_SIngles/Hospital_Singles_493.png")</f>
        <v/>
      </c>
    </row>
    <row r="490" ht="39.75" customHeight="1">
      <c r="A490" s="14" t="s">
        <v>4427</v>
      </c>
      <c r="B490" s="16" t="str">
        <f>IMAGE("https://lmztiles.s3.eu-west-1.amazonaws.com/Modern_Interiors_v41.3.4/1_Interiors/16x16/Theme_Sorter_Singles/19_Hospital_SIngles/Hospital_Singles_494.png")</f>
        <v/>
      </c>
    </row>
    <row r="491" ht="39.75" customHeight="1">
      <c r="A491" s="14" t="s">
        <v>4428</v>
      </c>
      <c r="B491" s="16" t="str">
        <f>IMAGE("https://lmztiles.s3.eu-west-1.amazonaws.com/Modern_Interiors_v41.3.4/1_Interiors/16x16/Theme_Sorter_Singles/19_Hospital_SIngles/Hospital_Singles_495.png")</f>
        <v/>
      </c>
    </row>
    <row r="492" ht="39.75" customHeight="1">
      <c r="A492" s="14" t="s">
        <v>4429</v>
      </c>
      <c r="B492" s="16" t="str">
        <f>IMAGE("https://lmztiles.s3.eu-west-1.amazonaws.com/Modern_Interiors_v41.3.4/1_Interiors/16x16/Theme_Sorter_Singles/19_Hospital_SIngles/Hospital_Singles_496.png")</f>
        <v/>
      </c>
    </row>
    <row r="493" ht="39.75" customHeight="1">
      <c r="A493" s="14" t="s">
        <v>4430</v>
      </c>
      <c r="B493" s="16" t="str">
        <f>IMAGE("https://lmztiles.s3.eu-west-1.amazonaws.com/Modern_Interiors_v41.3.4/1_Interiors/16x16/Theme_Sorter_Singles/19_Hospital_SIngles/Hospital_Singles_497.png")</f>
        <v/>
      </c>
    </row>
    <row r="494" ht="39.75" customHeight="1">
      <c r="A494" s="14" t="s">
        <v>4431</v>
      </c>
      <c r="B494" s="16" t="str">
        <f>IMAGE("https://lmztiles.s3.eu-west-1.amazonaws.com/Modern_Interiors_v41.3.4/1_Interiors/16x16/Theme_Sorter_Singles/19_Hospital_SIngles/Hospital_Singles_498.png")</f>
        <v/>
      </c>
    </row>
    <row r="495" ht="39.75" customHeight="1">
      <c r="A495" s="14" t="s">
        <v>4432</v>
      </c>
      <c r="B495" s="16" t="str">
        <f>IMAGE("https://lmztiles.s3.eu-west-1.amazonaws.com/Modern_Interiors_v41.3.4/1_Interiors/16x16/Theme_Sorter_Singles/19_Hospital_SIngles/Hospital_Singles_499.png")</f>
        <v/>
      </c>
    </row>
    <row r="496" ht="39.75" customHeight="1">
      <c r="A496" s="14" t="s">
        <v>4433</v>
      </c>
      <c r="B496" s="16" t="str">
        <f>IMAGE("https://lmztiles.s3.eu-west-1.amazonaws.com/Modern_Interiors_v41.3.4/1_Interiors/16x16/Theme_Sorter_Singles/19_Hospital_SIngles/Hospital_Singles_500.png")</f>
        <v/>
      </c>
    </row>
    <row r="497" ht="39.75" customHeight="1">
      <c r="A497" s="14" t="s">
        <v>4434</v>
      </c>
      <c r="B497" s="16" t="str">
        <f>IMAGE("https://lmztiles.s3.eu-west-1.amazonaws.com/Modern_Interiors_v41.3.4/1_Interiors/16x16/Theme_Sorter_Singles/19_Hospital_SIngles/Hospital_Singles_501.png")</f>
        <v/>
      </c>
    </row>
    <row r="498" ht="39.75" customHeight="1">
      <c r="A498" s="14" t="s">
        <v>4435</v>
      </c>
      <c r="B498" s="16" t="str">
        <f>IMAGE("https://lmztiles.s3.eu-west-1.amazonaws.com/Modern_Interiors_v41.3.4/1_Interiors/16x16/Theme_Sorter_Singles/19_Hospital_SIngles/Hospital_Singles_502.png")</f>
        <v/>
      </c>
    </row>
    <row r="499" ht="39.75" customHeight="1">
      <c r="A499" s="14" t="s">
        <v>4436</v>
      </c>
      <c r="B499" s="16" t="str">
        <f>IMAGE("https://lmztiles.s3.eu-west-1.amazonaws.com/Modern_Interiors_v41.3.4/1_Interiors/16x16/Theme_Sorter_Singles/19_Hospital_SIngles/Hospital_Singles_503.png")</f>
        <v/>
      </c>
    </row>
    <row r="500" ht="39.75" customHeight="1">
      <c r="A500" s="14" t="s">
        <v>4437</v>
      </c>
      <c r="B500" s="16" t="str">
        <f>IMAGE("https://lmztiles.s3.eu-west-1.amazonaws.com/Modern_Interiors_v41.3.4/1_Interiors/16x16/Theme_Sorter_Singles/19_Hospital_SIngles/Hospital_Singles_504.png")</f>
        <v/>
      </c>
    </row>
    <row r="501" ht="39.75" customHeight="1">
      <c r="A501" s="14" t="s">
        <v>4438</v>
      </c>
      <c r="B501" s="16" t="str">
        <f>IMAGE("https://lmztiles.s3.eu-west-1.amazonaws.com/Modern_Interiors_v41.3.4/1_Interiors/16x16/Theme_Sorter_Singles/19_Hospital_SIngles/Hospital_Singles_505.png")</f>
        <v/>
      </c>
    </row>
    <row r="502" ht="39.75" customHeight="1">
      <c r="A502" s="14" t="s">
        <v>4439</v>
      </c>
      <c r="B502" s="16" t="str">
        <f>IMAGE("https://lmztiles.s3.eu-west-1.amazonaws.com/Modern_Interiors_v41.3.4/1_Interiors/16x16/Theme_Sorter_Singles/19_Hospital_SIngles/Hospital_Singles_506.png")</f>
        <v/>
      </c>
    </row>
    <row r="503" ht="39.75" customHeight="1">
      <c r="A503" s="14" t="s">
        <v>4440</v>
      </c>
      <c r="B503" s="16" t="str">
        <f>IMAGE("https://lmztiles.s3.eu-west-1.amazonaws.com/Modern_Interiors_v41.3.4/1_Interiors/16x16/Theme_Sorter_Singles/19_Hospital_SIngles/Hospital_Singles_507.png")</f>
        <v/>
      </c>
    </row>
    <row r="504" ht="39.75" customHeight="1">
      <c r="A504" s="14" t="s">
        <v>4441</v>
      </c>
      <c r="B504" s="16" t="str">
        <f>IMAGE("https://lmztiles.s3.eu-west-1.amazonaws.com/Modern_Interiors_v41.3.4/1_Interiors/16x16/Theme_Sorter_Singles/19_Hospital_SIngles/Hospital_Singles_508.png")</f>
        <v/>
      </c>
    </row>
    <row r="505" ht="39.75" customHeight="1">
      <c r="A505" s="14" t="s">
        <v>4442</v>
      </c>
      <c r="B505" s="16" t="str">
        <f>IMAGE("https://lmztiles.s3.eu-west-1.amazonaws.com/Modern_Interiors_v41.3.4/1_Interiors/16x16/Theme_Sorter_Singles/19_Hospital_SIngles/Hospital_Singles_509.png")</f>
        <v/>
      </c>
    </row>
    <row r="506" ht="39.75" customHeight="1">
      <c r="A506" s="14" t="s">
        <v>4443</v>
      </c>
      <c r="B506" s="16" t="str">
        <f>IMAGE("https://lmztiles.s3.eu-west-1.amazonaws.com/Modern_Interiors_v41.3.4/1_Interiors/16x16/Theme_Sorter_Singles/19_Hospital_SIngles/Hospital_Singles_510.png")</f>
        <v/>
      </c>
    </row>
    <row r="507" ht="39.75" customHeight="1">
      <c r="A507" s="14" t="s">
        <v>4444</v>
      </c>
      <c r="B507" s="16" t="str">
        <f>IMAGE("https://lmztiles.s3.eu-west-1.amazonaws.com/Modern_Interiors_v41.3.4/1_Interiors/16x16/Theme_Sorter_Singles/19_Hospital_SIngles/Hospital_Singles_511.png")</f>
        <v/>
      </c>
    </row>
    <row r="508" ht="39.75" customHeight="1">
      <c r="A508" s="14" t="s">
        <v>4445</v>
      </c>
      <c r="B508" s="16" t="str">
        <f>IMAGE("https://lmztiles.s3.eu-west-1.amazonaws.com/Modern_Interiors_v41.3.4/1_Interiors/16x16/Theme_Sorter_Singles/19_Hospital_SIngles/Hospital_Singles_512.png")</f>
        <v/>
      </c>
    </row>
    <row r="509" ht="39.75" customHeight="1">
      <c r="A509" s="14" t="s">
        <v>4446</v>
      </c>
      <c r="B509" s="16" t="str">
        <f>IMAGE("https://lmztiles.s3.eu-west-1.amazonaws.com/Modern_Interiors_v41.3.4/1_Interiors/16x16/Theme_Sorter_Singles/19_Hospital_SIngles/Hospital_Singles_513.png")</f>
        <v/>
      </c>
    </row>
    <row r="510" ht="39.75" customHeight="1">
      <c r="A510" s="14" t="s">
        <v>4447</v>
      </c>
      <c r="B510" s="16" t="str">
        <f>IMAGE("https://lmztiles.s3.eu-west-1.amazonaws.com/Modern_Interiors_v41.3.4/1_Interiors/16x16/Theme_Sorter_Singles/19_Hospital_SIngles/Hospital_Singles_514.png")</f>
        <v/>
      </c>
    </row>
    <row r="511" ht="39.75" customHeight="1">
      <c r="A511" s="14" t="s">
        <v>4448</v>
      </c>
      <c r="B511" s="16" t="str">
        <f>IMAGE("https://lmztiles.s3.eu-west-1.amazonaws.com/Modern_Interiors_v41.3.4/1_Interiors/16x16/Theme_Sorter_Singles/19_Hospital_SIngles/Hospital_Singles_515.png")</f>
        <v/>
      </c>
    </row>
    <row r="512" ht="39.75" customHeight="1">
      <c r="A512" s="14" t="s">
        <v>4449</v>
      </c>
      <c r="B512" s="16" t="str">
        <f>IMAGE("https://lmztiles.s3.eu-west-1.amazonaws.com/Modern_Interiors_v41.3.4/1_Interiors/16x16/Theme_Sorter_Singles/19_Hospital_SIngles/Hospital_Singles_516.png")</f>
        <v/>
      </c>
    </row>
    <row r="513" ht="39.75" customHeight="1">
      <c r="A513" s="14" t="s">
        <v>4450</v>
      </c>
      <c r="B513" s="16" t="str">
        <f>IMAGE("https://lmztiles.s3.eu-west-1.amazonaws.com/Modern_Interiors_v41.3.4/1_Interiors/16x16/Theme_Sorter_Singles/19_Hospital_SIngles/Hospital_Singles_517.png")</f>
        <v/>
      </c>
    </row>
    <row r="514" ht="39.75" customHeight="1">
      <c r="A514" s="14" t="s">
        <v>4451</v>
      </c>
      <c r="B514" s="16" t="str">
        <f>IMAGE("https://lmztiles.s3.eu-west-1.amazonaws.com/Modern_Interiors_v41.3.4/1_Interiors/16x16/Theme_Sorter_Singles/19_Hospital_SIngles/Hospital_Singles_518.png")</f>
        <v/>
      </c>
    </row>
    <row r="515" ht="39.75" customHeight="1">
      <c r="A515" s="14" t="s">
        <v>4452</v>
      </c>
      <c r="B515" s="16" t="str">
        <f>IMAGE("https://lmztiles.s3.eu-west-1.amazonaws.com/Modern_Interiors_v41.3.4/1_Interiors/16x16/Theme_Sorter_Singles/19_Hospital_SIngles/Hospital_Singles_519.png")</f>
        <v/>
      </c>
    </row>
    <row r="516" ht="39.75" customHeight="1">
      <c r="A516" s="14" t="s">
        <v>4453</v>
      </c>
      <c r="B516" s="16" t="str">
        <f>IMAGE("https://lmztiles.s3.eu-west-1.amazonaws.com/Modern_Interiors_v41.3.4/1_Interiors/16x16/Theme_Sorter_Singles/19_Hospital_SIngles/Hospital_Singles_520.png")</f>
        <v/>
      </c>
    </row>
    <row r="517" ht="39.75" customHeight="1">
      <c r="A517" s="14" t="s">
        <v>4454</v>
      </c>
      <c r="B517" s="16" t="str">
        <f>IMAGE("https://lmztiles.s3.eu-west-1.amazonaws.com/Modern_Interiors_v41.3.4/1_Interiors/16x16/Theme_Sorter_Singles/19_Hospital_SIngles/Hospital_Singles_521.png")</f>
        <v/>
      </c>
    </row>
    <row r="518" ht="39.75" customHeight="1">
      <c r="A518" s="14" t="s">
        <v>4455</v>
      </c>
      <c r="B518" s="16" t="str">
        <f>IMAGE("https://lmztiles.s3.eu-west-1.amazonaws.com/Modern_Interiors_v41.3.4/1_Interiors/16x16/Theme_Sorter_Singles/19_Hospital_SIngles/Hospital_Singles_522.png")</f>
        <v/>
      </c>
    </row>
    <row r="519" ht="39.75" customHeight="1">
      <c r="A519" s="14" t="s">
        <v>4456</v>
      </c>
      <c r="B519" s="16" t="str">
        <f>IMAGE("https://lmztiles.s3.eu-west-1.amazonaws.com/Modern_Interiors_v41.3.4/1_Interiors/16x16/Theme_Sorter_Singles/19_Hospital_SIngles/Hospital_Singles_523.png")</f>
        <v/>
      </c>
    </row>
    <row r="520" ht="39.75" customHeight="1">
      <c r="A520" s="14" t="s">
        <v>4457</v>
      </c>
      <c r="B520" s="16" t="str">
        <f>IMAGE("https://lmztiles.s3.eu-west-1.amazonaws.com/Modern_Interiors_v41.3.4/1_Interiors/16x16/Theme_Sorter_Singles/19_Hospital_SIngles/Hospital_Singles_524.png")</f>
        <v/>
      </c>
    </row>
    <row r="521" ht="39.75" customHeight="1">
      <c r="A521" s="14" t="s">
        <v>4458</v>
      </c>
      <c r="B521" s="16" t="str">
        <f>IMAGE("https://lmztiles.s3.eu-west-1.amazonaws.com/Modern_Interiors_v41.3.4/1_Interiors/16x16/Theme_Sorter_Singles/19_Hospital_SIngles/Hospital_Singles_525.png")</f>
        <v/>
      </c>
    </row>
    <row r="522" ht="39.75" customHeight="1">
      <c r="A522" s="14" t="s">
        <v>4459</v>
      </c>
      <c r="B522" s="16" t="str">
        <f>IMAGE("https://lmztiles.s3.eu-west-1.amazonaws.com/Modern_Interiors_v41.3.4/1_Interiors/16x16/Theme_Sorter_Singles/19_Hospital_SIngles/Hospital_Singles_526.png")</f>
        <v/>
      </c>
    </row>
    <row r="523" ht="39.75" customHeight="1">
      <c r="A523" s="14" t="s">
        <v>4460</v>
      </c>
      <c r="B523" s="16" t="str">
        <f>IMAGE("https://lmztiles.s3.eu-west-1.amazonaws.com/Modern_Interiors_v41.3.4/1_Interiors/16x16/Theme_Sorter_Singles/19_Hospital_SIngles/Hospital_Singles_527.png")</f>
        <v/>
      </c>
    </row>
    <row r="524" ht="39.75" customHeight="1">
      <c r="A524" s="14" t="s">
        <v>4461</v>
      </c>
      <c r="B524" s="16" t="str">
        <f>IMAGE("https://lmztiles.s3.eu-west-1.amazonaws.com/Modern_Interiors_v41.3.4/1_Interiors/16x16/Theme_Sorter_Singles/19_Hospital_SIngles/Hospital_Singles_528.png")</f>
        <v/>
      </c>
    </row>
    <row r="525" ht="39.75" customHeight="1">
      <c r="A525" s="14" t="s">
        <v>4462</v>
      </c>
      <c r="B525" s="16" t="str">
        <f>IMAGE("https://lmztiles.s3.eu-west-1.amazonaws.com/Modern_Interiors_v41.3.4/1_Interiors/16x16/Theme_Sorter_Singles/19_Hospital_SIngles/Hospital_Singles_529.png")</f>
        <v/>
      </c>
    </row>
    <row r="526" ht="39.75" customHeight="1">
      <c r="A526" s="14" t="s">
        <v>4463</v>
      </c>
      <c r="B526" s="16" t="str">
        <f>IMAGE("https://lmztiles.s3.eu-west-1.amazonaws.com/Modern_Interiors_v41.3.4/1_Interiors/16x16/Theme_Sorter_Singles/19_Hospital_SIngles/Hospital_Singles_530.png")</f>
        <v/>
      </c>
    </row>
    <row r="527" ht="39.75" customHeight="1">
      <c r="A527" s="14" t="s">
        <v>4464</v>
      </c>
      <c r="B527" s="16" t="str">
        <f>IMAGE("https://lmztiles.s3.eu-west-1.amazonaws.com/Modern_Interiors_v41.3.4/1_Interiors/16x16/Theme_Sorter_Singles/19_Hospital_SIngles/Hospital_Singles_531.png")</f>
        <v/>
      </c>
    </row>
    <row r="528" ht="39.75" customHeight="1">
      <c r="A528" s="14" t="s">
        <v>4465</v>
      </c>
      <c r="B528" s="16" t="str">
        <f>IMAGE("https://lmztiles.s3.eu-west-1.amazonaws.com/Modern_Interiors_v41.3.4/1_Interiors/16x16/Theme_Sorter_Singles/19_Hospital_SIngles/Hospital_Singles_532.png")</f>
        <v/>
      </c>
    </row>
    <row r="529" ht="39.75" customHeight="1">
      <c r="A529" s="14" t="s">
        <v>4466</v>
      </c>
      <c r="B529" s="16" t="str">
        <f>IMAGE("https://lmztiles.s3.eu-west-1.amazonaws.com/Modern_Interiors_v41.3.4/1_Interiors/16x16/Theme_Sorter_Singles/19_Hospital_SIngles/Hospital_Singles_533.png")</f>
        <v/>
      </c>
    </row>
    <row r="530" ht="39.75" customHeight="1">
      <c r="A530" s="14" t="s">
        <v>4467</v>
      </c>
      <c r="B530" s="16" t="str">
        <f>IMAGE("https://lmztiles.s3.eu-west-1.amazonaws.com/Modern_Interiors_v41.3.4/1_Interiors/16x16/Theme_Sorter_Singles/19_Hospital_SIngles/Hospital_Singles_534.png")</f>
        <v/>
      </c>
    </row>
    <row r="531" ht="39.75" customHeight="1">
      <c r="A531" s="14" t="s">
        <v>4468</v>
      </c>
      <c r="B531" s="16" t="str">
        <f>IMAGE("https://lmztiles.s3.eu-west-1.amazonaws.com/Modern_Interiors_v41.3.4/1_Interiors/16x16/Theme_Sorter_Singles/19_Hospital_SIngles/Hospital_Singles_535.png")</f>
        <v/>
      </c>
    </row>
    <row r="532" ht="39.75" customHeight="1">
      <c r="A532" s="14" t="s">
        <v>4469</v>
      </c>
      <c r="B532" s="16" t="str">
        <f>IMAGE("https://lmztiles.s3.eu-west-1.amazonaws.com/Modern_Interiors_v41.3.4/1_Interiors/16x16/Theme_Sorter_Singles/19_Hospital_SIngles/Hospital_Singles_536.png")</f>
        <v/>
      </c>
    </row>
    <row r="533" ht="39.75" customHeight="1">
      <c r="A533" s="14" t="s">
        <v>4470</v>
      </c>
      <c r="B533" s="16" t="str">
        <f>IMAGE("https://lmztiles.s3.eu-west-1.amazonaws.com/Modern_Interiors_v41.3.4/1_Interiors/16x16/Theme_Sorter_Singles/19_Hospital_SIngles/Hospital_Singles_537.png")</f>
        <v/>
      </c>
    </row>
    <row r="534" ht="39.75" customHeight="1">
      <c r="A534" s="14" t="s">
        <v>4471</v>
      </c>
      <c r="B534" s="16" t="str">
        <f>IMAGE("https://lmztiles.s3.eu-west-1.amazonaws.com/Modern_Interiors_v41.3.4/1_Interiors/16x16/Theme_Sorter_Singles/19_Hospital_SIngles/Hospital_Singles_538.png")</f>
        <v/>
      </c>
    </row>
    <row r="535" ht="39.75" customHeight="1">
      <c r="A535" s="14" t="s">
        <v>4472</v>
      </c>
      <c r="B535" s="16" t="str">
        <f>IMAGE("https://lmztiles.s3.eu-west-1.amazonaws.com/Modern_Interiors_v41.3.4/1_Interiors/16x16/Theme_Sorter_Singles/19_Hospital_SIngles/Hospital_Singles_539.png")</f>
        <v/>
      </c>
    </row>
    <row r="536" ht="39.75" customHeight="1">
      <c r="A536" s="14" t="s">
        <v>4473</v>
      </c>
      <c r="B536" s="16" t="str">
        <f>IMAGE("https://lmztiles.s3.eu-west-1.amazonaws.com/Modern_Interiors_v41.3.4/1_Interiors/16x16/Theme_Sorter_Singles/19_Hospital_SIngles/Hospital_Singles_540.png")</f>
        <v/>
      </c>
    </row>
    <row r="537" ht="39.75" customHeight="1">
      <c r="A537" s="14" t="s">
        <v>4474</v>
      </c>
      <c r="B537" s="16" t="str">
        <f>IMAGE("https://lmztiles.s3.eu-west-1.amazonaws.com/Modern_Interiors_v41.3.4/1_Interiors/16x16/Theme_Sorter_Singles/19_Hospital_SIngles/Hospital_Singles_541.png")</f>
        <v/>
      </c>
    </row>
    <row r="538" ht="39.75" customHeight="1">
      <c r="A538" s="14" t="s">
        <v>4475</v>
      </c>
      <c r="B538" s="16" t="str">
        <f>IMAGE("https://lmztiles.s3.eu-west-1.amazonaws.com/Modern_Interiors_v41.3.4/1_Interiors/16x16/Theme_Sorter_Singles/19_Hospital_SIngles/Hospital_Singles_542.png")</f>
        <v/>
      </c>
    </row>
    <row r="539" ht="39.75" customHeight="1">
      <c r="A539" s="14" t="s">
        <v>4476</v>
      </c>
      <c r="B539" s="16" t="str">
        <f>IMAGE("https://lmztiles.s3.eu-west-1.amazonaws.com/Modern_Interiors_v41.3.4/1_Interiors/16x16/Theme_Sorter_Singles/19_Hospital_SIngles/Hospital_Singles_543.png")</f>
        <v/>
      </c>
    </row>
    <row r="540" ht="39.75" customHeight="1">
      <c r="A540" s="14" t="s">
        <v>4477</v>
      </c>
      <c r="B540" s="16" t="str">
        <f>IMAGE("https://lmztiles.s3.eu-west-1.amazonaws.com/Modern_Interiors_v41.3.4/1_Interiors/16x16/Theme_Sorter_Singles/19_Hospital_SIngles/Hospital_Singles_544.png")</f>
        <v/>
      </c>
    </row>
    <row r="541" ht="39.75" customHeight="1">
      <c r="A541" s="14" t="s">
        <v>4478</v>
      </c>
      <c r="B541" s="16" t="str">
        <f>IMAGE("https://lmztiles.s3.eu-west-1.amazonaws.com/Modern_Interiors_v41.3.4/1_Interiors/16x16/Theme_Sorter_Singles/19_Hospital_SIngles/Hospital_Singles_545.png")</f>
        <v/>
      </c>
    </row>
    <row r="542" ht="39.75" customHeight="1">
      <c r="A542" s="14" t="s">
        <v>4479</v>
      </c>
      <c r="B542" s="16" t="str">
        <f>IMAGE("https://lmztiles.s3.eu-west-1.amazonaws.com/Modern_Interiors_v41.3.4/1_Interiors/16x16/Theme_Sorter_Singles/19_Hospital_SIngles/Hospital_Singles_546.png")</f>
        <v/>
      </c>
    </row>
    <row r="543" ht="39.75" customHeight="1">
      <c r="A543" s="14" t="s">
        <v>4480</v>
      </c>
      <c r="B543" s="16" t="str">
        <f>IMAGE("https://lmztiles.s3.eu-west-1.amazonaws.com/Modern_Interiors_v41.3.4/1_Interiors/16x16/Theme_Sorter_Singles/19_Hospital_SIngles/Hospital_Singles_547.png")</f>
        <v/>
      </c>
    </row>
    <row r="544" ht="39.75" customHeight="1">
      <c r="A544" s="14" t="s">
        <v>4481</v>
      </c>
      <c r="B544" s="16" t="str">
        <f>IMAGE("https://lmztiles.s3.eu-west-1.amazonaws.com/Modern_Interiors_v41.3.4/1_Interiors/16x16/Theme_Sorter_Singles/19_Hospital_SIngles/Hospital_Singles_548.png")</f>
        <v/>
      </c>
    </row>
    <row r="545" ht="39.75" customHeight="1">
      <c r="A545" s="14" t="s">
        <v>4482</v>
      </c>
      <c r="B545" s="16" t="str">
        <f>IMAGE("https://lmztiles.s3.eu-west-1.amazonaws.com/Modern_Interiors_v41.3.4/1_Interiors/16x16/Theme_Sorter_Singles/19_Hospital_SIngles/Hospital_Singles_549.png")</f>
        <v/>
      </c>
    </row>
    <row r="546" ht="39.75" customHeight="1">
      <c r="A546" s="14" t="s">
        <v>4483</v>
      </c>
      <c r="B546" s="16" t="str">
        <f>IMAGE("https://lmztiles.s3.eu-west-1.amazonaws.com/Modern_Interiors_v41.3.4/1_Interiors/16x16/Theme_Sorter_Singles/19_Hospital_SIngles/Hospital_Singles_550.png")</f>
        <v/>
      </c>
    </row>
    <row r="547" ht="39.75" customHeight="1">
      <c r="A547" s="14"/>
    </row>
    <row r="548" ht="39.75" customHeight="1">
      <c r="A548" s="14"/>
    </row>
    <row r="549" ht="39.75" customHeight="1">
      <c r="A549" s="14"/>
    </row>
    <row r="550" ht="39.75" customHeight="1">
      <c r="A550" s="14"/>
    </row>
    <row r="551" ht="39.75" customHeight="1">
      <c r="A551" s="14"/>
    </row>
    <row r="552" ht="39.75" customHeight="1">
      <c r="A552" s="14"/>
    </row>
    <row r="553" ht="39.75" customHeight="1">
      <c r="A553" s="14"/>
    </row>
    <row r="554" ht="39.75" customHeight="1">
      <c r="A554" s="14"/>
    </row>
    <row r="555" ht="39.75" customHeight="1">
      <c r="A555" s="14"/>
    </row>
    <row r="556" ht="39.75" customHeight="1">
      <c r="A556" s="14"/>
    </row>
    <row r="557" ht="39.75" customHeight="1">
      <c r="A557" s="14"/>
    </row>
    <row r="558" ht="39.75" customHeight="1">
      <c r="A558" s="14"/>
    </row>
    <row r="559" ht="39.75" customHeight="1">
      <c r="A559" s="14"/>
    </row>
    <row r="560" ht="39.75" customHeight="1">
      <c r="A560" s="14"/>
    </row>
    <row r="561" ht="39.75" customHeight="1">
      <c r="A561" s="14"/>
    </row>
    <row r="562" ht="39.75" customHeight="1">
      <c r="A562" s="14"/>
    </row>
    <row r="563" ht="39.75" customHeight="1">
      <c r="A563" s="14"/>
    </row>
    <row r="564" ht="39.75" customHeight="1">
      <c r="A564" s="14"/>
    </row>
    <row r="565" ht="39.75" customHeight="1">
      <c r="A565" s="14"/>
    </row>
    <row r="566" ht="39.75" customHeight="1">
      <c r="A566" s="14"/>
    </row>
    <row r="567" ht="39.75" customHeight="1">
      <c r="A567" s="14"/>
    </row>
    <row r="568" ht="39.75" customHeight="1">
      <c r="A568" s="14"/>
    </row>
    <row r="569" ht="39.75" customHeight="1">
      <c r="A569" s="14"/>
    </row>
    <row r="570" ht="39.75" customHeight="1">
      <c r="A570" s="14"/>
    </row>
    <row r="571" ht="39.75" customHeight="1">
      <c r="A571" s="14"/>
    </row>
    <row r="572" ht="39.75" customHeight="1">
      <c r="A572" s="14"/>
    </row>
    <row r="573" ht="39.75" customHeight="1">
      <c r="A573" s="14"/>
    </row>
    <row r="574" ht="39.75" customHeight="1">
      <c r="A574" s="14"/>
    </row>
    <row r="575" ht="39.75" customHeight="1">
      <c r="A575" s="14"/>
    </row>
    <row r="576" ht="39.75" customHeight="1">
      <c r="A576" s="14"/>
    </row>
    <row r="577" ht="39.75" customHeight="1">
      <c r="A577" s="14"/>
    </row>
    <row r="578" ht="39.75" customHeight="1">
      <c r="A578" s="14"/>
    </row>
    <row r="579" ht="39.75" customHeight="1">
      <c r="A579" s="14"/>
    </row>
    <row r="580" ht="39.75" customHeight="1">
      <c r="A580" s="14"/>
    </row>
    <row r="581" ht="39.75" customHeight="1">
      <c r="A581" s="14"/>
    </row>
    <row r="582" ht="39.75" customHeight="1">
      <c r="A582" s="14"/>
    </row>
    <row r="583" ht="39.75" customHeight="1">
      <c r="A583" s="14"/>
    </row>
    <row r="584" ht="39.75" customHeight="1">
      <c r="A584" s="14"/>
    </row>
    <row r="585" ht="39.75" customHeight="1">
      <c r="A585" s="14"/>
    </row>
    <row r="586" ht="39.75" customHeight="1">
      <c r="A586" s="14"/>
    </row>
    <row r="587" ht="39.75" customHeight="1">
      <c r="A587" s="14"/>
    </row>
    <row r="588" ht="39.75" customHeight="1">
      <c r="A588" s="14"/>
    </row>
    <row r="589" ht="39.75" customHeight="1">
      <c r="A589" s="14"/>
    </row>
    <row r="590" ht="39.75" customHeight="1">
      <c r="A590" s="14"/>
    </row>
    <row r="591" ht="39.75" customHeight="1">
      <c r="A591" s="14"/>
    </row>
    <row r="592" ht="39.75" customHeight="1">
      <c r="A592" s="14"/>
    </row>
    <row r="593" ht="39.75" customHeight="1">
      <c r="A593" s="14"/>
    </row>
    <row r="594" ht="39.75" customHeight="1">
      <c r="A594" s="14"/>
    </row>
    <row r="595" ht="39.75" customHeight="1">
      <c r="A595" s="14"/>
    </row>
    <row r="596" ht="39.75" customHeight="1">
      <c r="A596" s="14"/>
    </row>
    <row r="597" ht="39.75" customHeight="1">
      <c r="A597" s="14"/>
    </row>
    <row r="598" ht="39.75" customHeight="1">
      <c r="A598" s="14"/>
    </row>
    <row r="599" ht="39.75" customHeight="1">
      <c r="A599" s="14"/>
    </row>
    <row r="600" ht="39.75" customHeight="1">
      <c r="A600" s="14"/>
    </row>
    <row r="601" ht="39.75" customHeight="1">
      <c r="A601" s="14"/>
    </row>
    <row r="602" ht="39.75" customHeight="1">
      <c r="A602" s="14"/>
    </row>
    <row r="603" ht="39.75" customHeight="1">
      <c r="A603" s="14"/>
    </row>
    <row r="604" ht="39.75" customHeight="1">
      <c r="A604" s="14"/>
    </row>
    <row r="605" ht="39.75" customHeight="1">
      <c r="A605" s="14"/>
    </row>
    <row r="606" ht="39.75" customHeight="1">
      <c r="A606" s="14"/>
    </row>
    <row r="607" ht="39.75" customHeight="1">
      <c r="A607" s="14"/>
    </row>
    <row r="608" ht="39.75" customHeight="1">
      <c r="A608" s="14"/>
    </row>
    <row r="609" ht="39.75" customHeight="1">
      <c r="A609" s="14"/>
    </row>
    <row r="610" ht="39.75" customHeight="1">
      <c r="A610" s="14"/>
    </row>
    <row r="611" ht="39.75" customHeight="1">
      <c r="A611" s="14"/>
    </row>
    <row r="612" ht="39.75" customHeight="1">
      <c r="A612" s="14"/>
    </row>
    <row r="613" ht="39.75" customHeight="1">
      <c r="A613" s="14"/>
    </row>
    <row r="614" ht="39.75" customHeight="1">
      <c r="A614" s="14"/>
    </row>
    <row r="615" ht="39.75" customHeight="1">
      <c r="A615" s="14"/>
    </row>
    <row r="616" ht="39.75" customHeight="1">
      <c r="A616" s="14"/>
    </row>
    <row r="617" ht="39.75" customHeight="1">
      <c r="A617" s="14"/>
    </row>
    <row r="618" ht="39.75" customHeight="1">
      <c r="A618" s="14"/>
    </row>
    <row r="619" ht="39.75" customHeight="1">
      <c r="A619" s="14"/>
    </row>
    <row r="620" ht="39.75" customHeight="1">
      <c r="A620" s="14"/>
    </row>
    <row r="621" ht="39.75" customHeight="1">
      <c r="A621" s="14"/>
    </row>
    <row r="622" ht="39.75" customHeight="1">
      <c r="A622" s="14"/>
    </row>
    <row r="623" ht="39.75" customHeight="1">
      <c r="A623" s="14"/>
    </row>
    <row r="624" ht="39.75" customHeight="1">
      <c r="A624" s="14"/>
    </row>
    <row r="625" ht="39.75" customHeight="1">
      <c r="A625" s="14"/>
    </row>
    <row r="626" ht="39.75" customHeight="1">
      <c r="A626" s="14"/>
    </row>
    <row r="627" ht="39.75" customHeight="1">
      <c r="A627" s="14"/>
    </row>
    <row r="628" ht="39.75" customHeight="1">
      <c r="A628" s="14"/>
    </row>
    <row r="629" ht="39.75" customHeight="1">
      <c r="A629" s="14"/>
    </row>
    <row r="630" ht="39.75" customHeight="1">
      <c r="A630" s="14"/>
    </row>
    <row r="631" ht="39.75" customHeight="1">
      <c r="A631" s="14"/>
    </row>
    <row r="632" ht="39.75" customHeight="1">
      <c r="A632" s="14"/>
    </row>
    <row r="633" ht="39.75" customHeight="1">
      <c r="A633" s="14"/>
    </row>
    <row r="634" ht="39.75" customHeight="1">
      <c r="A634" s="14"/>
    </row>
    <row r="635" ht="39.75" customHeight="1">
      <c r="A635" s="14"/>
    </row>
    <row r="636" ht="39.75" customHeight="1">
      <c r="A636" s="14"/>
    </row>
    <row r="637" ht="39.75" customHeight="1">
      <c r="A637" s="14"/>
    </row>
    <row r="638" ht="39.75" customHeight="1">
      <c r="A638" s="14"/>
    </row>
    <row r="639" ht="39.75" customHeight="1">
      <c r="A639" s="14"/>
    </row>
    <row r="640" ht="39.75" customHeight="1">
      <c r="A640" s="14"/>
    </row>
    <row r="641" ht="39.75" customHeight="1">
      <c r="A641" s="14"/>
    </row>
    <row r="642" ht="39.75" customHeight="1">
      <c r="A642" s="14"/>
    </row>
    <row r="643" ht="39.75" customHeight="1">
      <c r="A643" s="14"/>
    </row>
    <row r="644" ht="39.75" customHeight="1">
      <c r="A644" s="14"/>
    </row>
    <row r="645" ht="39.75" customHeight="1">
      <c r="A645" s="14"/>
    </row>
    <row r="646" ht="39.75" customHeight="1">
      <c r="A646" s="14"/>
    </row>
    <row r="647" ht="39.75" customHeight="1">
      <c r="A647" s="14"/>
    </row>
    <row r="648" ht="39.75" customHeight="1">
      <c r="A648" s="14"/>
    </row>
    <row r="649" ht="39.75" customHeight="1">
      <c r="A649" s="14"/>
    </row>
    <row r="650" ht="39.75" customHeight="1">
      <c r="A650" s="14"/>
    </row>
    <row r="651" ht="39.75" customHeight="1">
      <c r="A651" s="14"/>
    </row>
    <row r="652" ht="39.75" customHeight="1">
      <c r="A652" s="14"/>
    </row>
    <row r="653" ht="39.75" customHeight="1">
      <c r="A653" s="14"/>
    </row>
    <row r="654" ht="39.75" customHeight="1">
      <c r="A654" s="14"/>
    </row>
    <row r="655" ht="39.75" customHeight="1">
      <c r="A655" s="14"/>
    </row>
    <row r="656" ht="39.75" customHeight="1">
      <c r="A656" s="14"/>
    </row>
    <row r="657" ht="39.75" customHeight="1">
      <c r="A657" s="14"/>
    </row>
    <row r="658" ht="39.75" customHeight="1">
      <c r="A658" s="14"/>
    </row>
    <row r="659" ht="39.75" customHeight="1">
      <c r="A659" s="14"/>
    </row>
    <row r="660" ht="39.75" customHeight="1">
      <c r="A660" s="14"/>
    </row>
    <row r="661" ht="39.75" customHeight="1">
      <c r="A661" s="14"/>
    </row>
    <row r="662" ht="39.75" customHeight="1">
      <c r="A662" s="14"/>
    </row>
    <row r="663" ht="39.75" customHeight="1">
      <c r="A663" s="14"/>
    </row>
    <row r="664" ht="39.75" customHeight="1">
      <c r="A664" s="14"/>
    </row>
    <row r="665" ht="39.75" customHeight="1">
      <c r="A665" s="14"/>
    </row>
    <row r="666" ht="39.75" customHeight="1">
      <c r="A666" s="14"/>
    </row>
    <row r="667" ht="39.75" customHeight="1">
      <c r="A667" s="14"/>
    </row>
    <row r="668" ht="39.75" customHeight="1">
      <c r="A668" s="14"/>
    </row>
    <row r="669" ht="39.75" customHeight="1">
      <c r="A669" s="14"/>
    </row>
    <row r="670" ht="39.75" customHeight="1">
      <c r="A670" s="14"/>
    </row>
    <row r="671" ht="39.75" customHeight="1">
      <c r="A671" s="14"/>
    </row>
    <row r="672" ht="39.75" customHeight="1">
      <c r="A672" s="14"/>
    </row>
    <row r="673" ht="39.75" customHeight="1">
      <c r="A673" s="14"/>
    </row>
    <row r="674" ht="39.75" customHeight="1">
      <c r="A674" s="14"/>
    </row>
    <row r="675" ht="39.75" customHeight="1">
      <c r="A675" s="14"/>
    </row>
    <row r="676" ht="39.75" customHeight="1">
      <c r="A676" s="14"/>
    </row>
    <row r="677" ht="39.75" customHeight="1">
      <c r="A677" s="14"/>
    </row>
    <row r="678" ht="39.75" customHeight="1">
      <c r="A678" s="14"/>
    </row>
    <row r="679" ht="39.75" customHeight="1">
      <c r="A679" s="14"/>
    </row>
    <row r="680" ht="39.75" customHeight="1">
      <c r="A680" s="14"/>
    </row>
    <row r="681" ht="39.75" customHeight="1">
      <c r="A681" s="14"/>
    </row>
    <row r="682" ht="39.75" customHeight="1">
      <c r="A682" s="14"/>
    </row>
    <row r="683" ht="39.75" customHeight="1">
      <c r="A683" s="14"/>
    </row>
    <row r="684" ht="39.75" customHeight="1">
      <c r="A684" s="14"/>
    </row>
    <row r="685" ht="39.75" customHeight="1">
      <c r="A685" s="14"/>
    </row>
    <row r="686" ht="39.75" customHeight="1">
      <c r="A686" s="14"/>
    </row>
    <row r="687" ht="39.75" customHeight="1">
      <c r="A687" s="14"/>
    </row>
    <row r="688" ht="39.75" customHeight="1">
      <c r="A688" s="14"/>
    </row>
    <row r="689" ht="39.75" customHeight="1">
      <c r="A689" s="14"/>
    </row>
    <row r="690" ht="39.75" customHeight="1">
      <c r="A690" s="14"/>
    </row>
    <row r="691" ht="39.75" customHeight="1">
      <c r="A691" s="14"/>
    </row>
    <row r="692" ht="39.75" customHeight="1">
      <c r="A692" s="14"/>
    </row>
    <row r="693" ht="39.75" customHeight="1">
      <c r="A693" s="14"/>
    </row>
    <row r="694" ht="39.75" customHeight="1">
      <c r="A694" s="14"/>
    </row>
    <row r="695" ht="39.75" customHeight="1">
      <c r="A695" s="14"/>
    </row>
    <row r="696" ht="39.75" customHeight="1">
      <c r="A696" s="14"/>
    </row>
    <row r="697" ht="39.75" customHeight="1">
      <c r="A697" s="14"/>
    </row>
    <row r="698" ht="39.75" customHeight="1">
      <c r="A698" s="14"/>
    </row>
    <row r="699" ht="39.75" customHeight="1">
      <c r="A699" s="14"/>
    </row>
    <row r="700" ht="39.75" customHeight="1">
      <c r="A700" s="14"/>
    </row>
    <row r="701" ht="39.75" customHeight="1">
      <c r="A701" s="14"/>
    </row>
    <row r="702" ht="39.75" customHeight="1">
      <c r="A702" s="14"/>
    </row>
    <row r="703" ht="39.75" customHeight="1">
      <c r="A703" s="14"/>
    </row>
    <row r="704" ht="39.75" customHeight="1">
      <c r="A704" s="14"/>
    </row>
    <row r="705" ht="39.75" customHeight="1">
      <c r="A705" s="14"/>
    </row>
    <row r="706" ht="39.75" customHeight="1">
      <c r="A706" s="14"/>
    </row>
    <row r="707" ht="39.75" customHeight="1">
      <c r="A707" s="14"/>
    </row>
    <row r="708" ht="39.75" customHeight="1">
      <c r="A708" s="14"/>
    </row>
    <row r="709" ht="39.75" customHeight="1">
      <c r="A709" s="14"/>
    </row>
    <row r="710" ht="39.75" customHeight="1">
      <c r="A710" s="14"/>
    </row>
    <row r="711" ht="39.75" customHeight="1">
      <c r="A711" s="14"/>
    </row>
    <row r="712" ht="39.75" customHeight="1">
      <c r="A712" s="14"/>
    </row>
    <row r="713" ht="39.75" customHeight="1">
      <c r="A713" s="14"/>
    </row>
    <row r="714" ht="39.75" customHeight="1">
      <c r="A714" s="14"/>
    </row>
    <row r="715" ht="39.75" customHeight="1">
      <c r="A715" s="14"/>
    </row>
    <row r="716" ht="39.75" customHeight="1">
      <c r="A716" s="14"/>
    </row>
    <row r="717" ht="39.75" customHeight="1">
      <c r="A717" s="14"/>
    </row>
    <row r="718" ht="39.75" customHeight="1">
      <c r="A718" s="14"/>
    </row>
    <row r="719" ht="39.75" customHeight="1">
      <c r="A719" s="14"/>
    </row>
    <row r="720" ht="39.75" customHeight="1">
      <c r="A720" s="14"/>
    </row>
    <row r="721" ht="39.75" customHeight="1">
      <c r="A721" s="14"/>
    </row>
    <row r="722" ht="39.75" customHeight="1">
      <c r="A722" s="14"/>
    </row>
    <row r="723" ht="39.75" customHeight="1">
      <c r="A723" s="14"/>
    </row>
    <row r="724" ht="39.75" customHeight="1">
      <c r="A724" s="14"/>
    </row>
    <row r="725" ht="39.75" customHeight="1">
      <c r="A725" s="14"/>
    </row>
    <row r="726" ht="39.75" customHeight="1">
      <c r="A726" s="14"/>
    </row>
    <row r="727" ht="39.75" customHeight="1">
      <c r="A727" s="14"/>
    </row>
    <row r="728" ht="39.75" customHeight="1">
      <c r="A728" s="14"/>
    </row>
    <row r="729" ht="39.75" customHeight="1">
      <c r="A729" s="14"/>
    </row>
    <row r="730" ht="39.75" customHeight="1">
      <c r="A730" s="14"/>
    </row>
    <row r="731" ht="39.75" customHeight="1">
      <c r="A731" s="14"/>
    </row>
    <row r="732" ht="39.75" customHeight="1">
      <c r="A732" s="14"/>
    </row>
    <row r="733" ht="39.75" customHeight="1">
      <c r="A733" s="14"/>
    </row>
    <row r="734" ht="39.75" customHeight="1">
      <c r="A734" s="14"/>
    </row>
    <row r="735" ht="39.75" customHeight="1">
      <c r="A735" s="14"/>
    </row>
    <row r="736" ht="39.75" customHeight="1">
      <c r="A736" s="14"/>
    </row>
    <row r="737" ht="39.75" customHeight="1">
      <c r="A737" s="14"/>
    </row>
    <row r="738" ht="39.75" customHeight="1">
      <c r="A738" s="14"/>
    </row>
    <row r="739" ht="39.75" customHeight="1">
      <c r="A739" s="14"/>
    </row>
    <row r="740" ht="39.75" customHeight="1">
      <c r="A740" s="14"/>
    </row>
    <row r="741" ht="39.75" customHeight="1">
      <c r="A741" s="14"/>
    </row>
    <row r="742" ht="39.75" customHeight="1">
      <c r="A742" s="14"/>
    </row>
    <row r="743" ht="39.75" customHeight="1">
      <c r="A743" s="14"/>
    </row>
    <row r="744" ht="39.75" customHeight="1">
      <c r="A744" s="14"/>
    </row>
    <row r="745" ht="39.75" customHeight="1">
      <c r="A745" s="14"/>
    </row>
    <row r="746" ht="39.75" customHeight="1">
      <c r="A746" s="14"/>
    </row>
    <row r="747" ht="39.75" customHeight="1">
      <c r="A747" s="14"/>
    </row>
    <row r="748" ht="39.75" customHeight="1">
      <c r="A748" s="14"/>
    </row>
    <row r="749" ht="39.75" customHeight="1">
      <c r="A749" s="14"/>
    </row>
    <row r="750" ht="39.75" customHeight="1">
      <c r="A750" s="14"/>
    </row>
    <row r="751" ht="39.75" customHeight="1">
      <c r="A751" s="14"/>
    </row>
    <row r="752" ht="39.75" customHeight="1">
      <c r="A752" s="14"/>
    </row>
    <row r="753" ht="39.75" customHeight="1">
      <c r="A753" s="14"/>
    </row>
    <row r="754" ht="39.75" customHeight="1">
      <c r="A754" s="14"/>
    </row>
    <row r="755" ht="39.75" customHeight="1">
      <c r="A755" s="14"/>
    </row>
    <row r="756" ht="39.75" customHeight="1">
      <c r="A756" s="14"/>
    </row>
    <row r="757" ht="39.75" customHeight="1">
      <c r="A757" s="14"/>
    </row>
    <row r="758" ht="39.75" customHeight="1">
      <c r="A758" s="14"/>
    </row>
    <row r="759" ht="39.75" customHeight="1">
      <c r="A759" s="14"/>
    </row>
    <row r="760" ht="39.75" customHeight="1">
      <c r="A760" s="14"/>
    </row>
    <row r="761" ht="39.75" customHeight="1">
      <c r="A761" s="14"/>
    </row>
    <row r="762" ht="39.75" customHeight="1">
      <c r="A762" s="14"/>
    </row>
    <row r="763" ht="39.75" customHeight="1">
      <c r="A763" s="14"/>
    </row>
    <row r="764" ht="39.75" customHeight="1">
      <c r="A764" s="14"/>
    </row>
    <row r="765" ht="39.75" customHeight="1">
      <c r="A765" s="14"/>
    </row>
    <row r="766" ht="39.75" customHeight="1">
      <c r="A766" s="14"/>
    </row>
    <row r="767" ht="39.75" customHeight="1">
      <c r="A767" s="14"/>
    </row>
    <row r="768" ht="39.75" customHeight="1">
      <c r="A768" s="14"/>
    </row>
    <row r="769" ht="39.75" customHeight="1">
      <c r="A769" s="14"/>
    </row>
    <row r="770" ht="39.75" customHeight="1">
      <c r="A770" s="14"/>
    </row>
    <row r="771" ht="39.75" customHeight="1">
      <c r="A771" s="14"/>
    </row>
    <row r="772" ht="39.75" customHeight="1">
      <c r="A772" s="14"/>
    </row>
    <row r="773" ht="39.75" customHeight="1">
      <c r="A773" s="14"/>
    </row>
    <row r="774" ht="39.75" customHeight="1">
      <c r="A774" s="14"/>
    </row>
    <row r="775" ht="39.75" customHeight="1">
      <c r="A775" s="14"/>
    </row>
    <row r="776" ht="39.75" customHeight="1">
      <c r="A776" s="14"/>
    </row>
    <row r="777" ht="39.75" customHeight="1">
      <c r="A777" s="14"/>
    </row>
    <row r="778" ht="39.75" customHeight="1">
      <c r="A778" s="14"/>
    </row>
    <row r="779" ht="39.75" customHeight="1">
      <c r="A779" s="14"/>
    </row>
    <row r="780" ht="39.75" customHeight="1">
      <c r="A780" s="14"/>
    </row>
    <row r="781" ht="39.75" customHeight="1">
      <c r="A781" s="14"/>
    </row>
    <row r="782" ht="39.75" customHeight="1">
      <c r="A782" s="14"/>
    </row>
    <row r="783" ht="39.75" customHeight="1">
      <c r="A783" s="14"/>
    </row>
    <row r="784" ht="39.75" customHeight="1">
      <c r="A784" s="14"/>
    </row>
    <row r="785" ht="39.75" customHeight="1">
      <c r="A785" s="14"/>
    </row>
    <row r="786" ht="39.75" customHeight="1">
      <c r="A786" s="14"/>
    </row>
    <row r="787" ht="39.75" customHeight="1">
      <c r="A787" s="14"/>
    </row>
    <row r="788" ht="39.75" customHeight="1">
      <c r="A788" s="14"/>
    </row>
    <row r="789" ht="39.75" customHeight="1">
      <c r="A789" s="14"/>
    </row>
    <row r="790" ht="39.75" customHeight="1">
      <c r="A790" s="14"/>
    </row>
    <row r="791" ht="39.75" customHeight="1">
      <c r="A791" s="14"/>
    </row>
    <row r="792" ht="39.75" customHeight="1">
      <c r="A792" s="14"/>
    </row>
    <row r="793" ht="39.75" customHeight="1">
      <c r="A793" s="14"/>
    </row>
    <row r="794" ht="39.75" customHeight="1">
      <c r="A794" s="14"/>
    </row>
    <row r="795" ht="39.75" customHeight="1">
      <c r="A795" s="14"/>
    </row>
    <row r="796" ht="39.75" customHeight="1">
      <c r="A796" s="14"/>
    </row>
    <row r="797" ht="39.75" customHeight="1">
      <c r="A797" s="14"/>
    </row>
    <row r="798" ht="39.75" customHeight="1">
      <c r="A798" s="14"/>
    </row>
    <row r="799" ht="39.75" customHeight="1">
      <c r="A799" s="14"/>
    </row>
    <row r="800" ht="39.75" customHeight="1">
      <c r="A800" s="14"/>
    </row>
    <row r="801" ht="39.75" customHeight="1">
      <c r="A801" s="14"/>
    </row>
    <row r="802" ht="39.75" customHeight="1">
      <c r="A802" s="14"/>
    </row>
    <row r="803" ht="39.75" customHeight="1">
      <c r="A803" s="14"/>
    </row>
    <row r="804" ht="39.75" customHeight="1">
      <c r="A804" s="14"/>
    </row>
    <row r="805" ht="39.75" customHeight="1">
      <c r="A805" s="14"/>
    </row>
    <row r="806" ht="39.75" customHeight="1">
      <c r="A806" s="14"/>
    </row>
    <row r="807" ht="39.75" customHeight="1">
      <c r="A807" s="14"/>
    </row>
    <row r="808" ht="39.75" customHeight="1">
      <c r="A808" s="14"/>
    </row>
    <row r="809" ht="39.75" customHeight="1">
      <c r="A809" s="14"/>
    </row>
    <row r="810" ht="39.75" customHeight="1">
      <c r="A810" s="14"/>
    </row>
    <row r="811" ht="39.75" customHeight="1">
      <c r="A811" s="14"/>
    </row>
    <row r="812" ht="39.75" customHeight="1">
      <c r="A812" s="14"/>
    </row>
    <row r="813" ht="39.75" customHeight="1">
      <c r="A813" s="14"/>
    </row>
    <row r="814" ht="39.75" customHeight="1">
      <c r="A814" s="14"/>
    </row>
    <row r="815" ht="39.75" customHeight="1">
      <c r="A815" s="14"/>
    </row>
    <row r="816" ht="39.75" customHeight="1">
      <c r="A816" s="14"/>
    </row>
    <row r="817" ht="39.75" customHeight="1">
      <c r="A817" s="14"/>
    </row>
    <row r="818" ht="39.75" customHeight="1">
      <c r="A818" s="14"/>
    </row>
    <row r="819" ht="39.75" customHeight="1">
      <c r="A819" s="14"/>
    </row>
    <row r="820" ht="39.75" customHeight="1">
      <c r="A820" s="14"/>
    </row>
    <row r="821" ht="39.75" customHeight="1">
      <c r="A821" s="14"/>
    </row>
    <row r="822" ht="39.75" customHeight="1">
      <c r="A822" s="14"/>
    </row>
    <row r="823" ht="39.75" customHeight="1">
      <c r="A823" s="14"/>
    </row>
    <row r="824" ht="39.75" customHeight="1">
      <c r="A824" s="14"/>
    </row>
    <row r="825" ht="39.75" customHeight="1">
      <c r="A825" s="14"/>
    </row>
    <row r="826" ht="39.75" customHeight="1">
      <c r="A826" s="14"/>
    </row>
    <row r="827" ht="39.75" customHeight="1">
      <c r="A827" s="14"/>
    </row>
    <row r="828" ht="39.75" customHeight="1">
      <c r="A828" s="14"/>
    </row>
    <row r="829" ht="39.75" customHeight="1">
      <c r="A829" s="14"/>
    </row>
    <row r="830" ht="39.75" customHeight="1">
      <c r="A830" s="14"/>
    </row>
    <row r="831" ht="39.75" customHeight="1">
      <c r="A831" s="14"/>
    </row>
    <row r="832" ht="39.75" customHeight="1">
      <c r="A832" s="14"/>
    </row>
    <row r="833" ht="39.75" customHeight="1">
      <c r="A833" s="14"/>
    </row>
    <row r="834" ht="39.75" customHeight="1">
      <c r="A834" s="14"/>
    </row>
    <row r="835" ht="39.75" customHeight="1">
      <c r="A835" s="14"/>
    </row>
    <row r="836" ht="39.75" customHeight="1">
      <c r="A836" s="14"/>
    </row>
    <row r="837" ht="39.75" customHeight="1">
      <c r="A837" s="14"/>
    </row>
    <row r="838" ht="39.75" customHeight="1">
      <c r="A838" s="14"/>
    </row>
    <row r="839" ht="39.75" customHeight="1">
      <c r="A839" s="14"/>
    </row>
    <row r="840" ht="39.75" customHeight="1">
      <c r="A840" s="14"/>
    </row>
    <row r="841" ht="39.75" customHeight="1">
      <c r="A841" s="14"/>
    </row>
    <row r="842" ht="39.75" customHeight="1">
      <c r="A842" s="14"/>
    </row>
    <row r="843" ht="39.75" customHeight="1">
      <c r="A843" s="14"/>
    </row>
    <row r="844" ht="39.75" customHeight="1">
      <c r="A844" s="14"/>
    </row>
    <row r="845" ht="39.75" customHeight="1">
      <c r="A845" s="14"/>
    </row>
    <row r="846" ht="39.75" customHeight="1">
      <c r="A846" s="14"/>
    </row>
    <row r="847" ht="39.75" customHeight="1">
      <c r="A847" s="14"/>
    </row>
    <row r="848" ht="39.75" customHeight="1">
      <c r="A848" s="14"/>
    </row>
    <row r="849" ht="39.75" customHeight="1">
      <c r="A849" s="14"/>
    </row>
    <row r="850" ht="39.75" customHeight="1">
      <c r="A850" s="14"/>
    </row>
    <row r="851" ht="39.75" customHeight="1">
      <c r="A851" s="14"/>
    </row>
    <row r="852" ht="39.75" customHeight="1">
      <c r="A852" s="14"/>
    </row>
    <row r="853" ht="39.75" customHeight="1">
      <c r="A853" s="14"/>
    </row>
    <row r="854" ht="39.75" customHeight="1">
      <c r="A854" s="14"/>
    </row>
    <row r="855" ht="39.75" customHeight="1">
      <c r="A855" s="14"/>
    </row>
    <row r="856" ht="39.75" customHeight="1">
      <c r="A856" s="14"/>
    </row>
    <row r="857" ht="39.75" customHeight="1">
      <c r="A857" s="14"/>
    </row>
    <row r="858" ht="39.75" customHeight="1">
      <c r="A858" s="14"/>
    </row>
    <row r="859" ht="39.75" customHeight="1">
      <c r="A859" s="14"/>
    </row>
    <row r="860" ht="39.75" customHeight="1">
      <c r="A860" s="14"/>
    </row>
    <row r="861" ht="39.75" customHeight="1">
      <c r="A861" s="14"/>
    </row>
    <row r="862" ht="39.75" customHeight="1">
      <c r="A862" s="14"/>
    </row>
    <row r="863" ht="39.75" customHeight="1">
      <c r="A863" s="14"/>
    </row>
    <row r="864" ht="39.75" customHeight="1">
      <c r="A864" s="14"/>
    </row>
    <row r="865" ht="39.75" customHeight="1">
      <c r="A865" s="14"/>
    </row>
    <row r="866" ht="39.75" customHeight="1">
      <c r="A866" s="14"/>
    </row>
    <row r="867" ht="39.75" customHeight="1">
      <c r="A867" s="14"/>
    </row>
    <row r="868" ht="39.75" customHeight="1">
      <c r="A868" s="14"/>
    </row>
    <row r="869" ht="39.75" customHeight="1">
      <c r="A869" s="14"/>
    </row>
    <row r="870" ht="39.75" customHeight="1">
      <c r="A870" s="14"/>
    </row>
    <row r="871" ht="39.75" customHeight="1">
      <c r="A871" s="14"/>
    </row>
    <row r="872" ht="39.75" customHeight="1">
      <c r="A872" s="14"/>
    </row>
    <row r="873" ht="39.75" customHeight="1">
      <c r="A873" s="14"/>
    </row>
    <row r="874" ht="39.75" customHeight="1">
      <c r="A874" s="14"/>
    </row>
    <row r="875" ht="39.75" customHeight="1">
      <c r="A875" s="14"/>
    </row>
    <row r="876" ht="39.75" customHeight="1">
      <c r="A876" s="14"/>
    </row>
    <row r="877" ht="39.75" customHeight="1">
      <c r="A877" s="14"/>
    </row>
    <row r="878" ht="39.75" customHeight="1">
      <c r="A878" s="14"/>
    </row>
    <row r="879" ht="39.75" customHeight="1">
      <c r="A879" s="14"/>
    </row>
    <row r="880" ht="39.75" customHeight="1">
      <c r="A880" s="14"/>
    </row>
    <row r="881" ht="39.75" customHeight="1">
      <c r="A881" s="14"/>
    </row>
    <row r="882" ht="39.75" customHeight="1">
      <c r="A882" s="14"/>
    </row>
    <row r="883" ht="39.75" customHeight="1">
      <c r="A883" s="14"/>
    </row>
    <row r="884" ht="39.75" customHeight="1">
      <c r="A884" s="14"/>
    </row>
    <row r="885" ht="39.75" customHeight="1">
      <c r="A885" s="14"/>
    </row>
    <row r="886" ht="39.75" customHeight="1">
      <c r="A886" s="14"/>
    </row>
    <row r="887" ht="39.75" customHeight="1">
      <c r="A887" s="14"/>
    </row>
    <row r="888" ht="39.75" customHeight="1">
      <c r="A888" s="14"/>
    </row>
    <row r="889" ht="39.75" customHeight="1">
      <c r="A889" s="14"/>
    </row>
    <row r="890" ht="39.75" customHeight="1">
      <c r="A890" s="14"/>
    </row>
    <row r="891" ht="39.75" customHeight="1">
      <c r="A891" s="14"/>
    </row>
    <row r="892" ht="39.75" customHeight="1">
      <c r="A892" s="14"/>
    </row>
    <row r="893" ht="39.75" customHeight="1">
      <c r="A893" s="14"/>
    </row>
    <row r="894" ht="39.75" customHeight="1">
      <c r="A894" s="14"/>
    </row>
    <row r="895" ht="39.75" customHeight="1">
      <c r="A895" s="14"/>
    </row>
    <row r="896" ht="39.75" customHeight="1">
      <c r="A896" s="14"/>
    </row>
    <row r="897" ht="39.75" customHeight="1">
      <c r="A897" s="14"/>
    </row>
    <row r="898" ht="39.75" customHeight="1">
      <c r="A898" s="14"/>
    </row>
    <row r="899" ht="39.75" customHeight="1">
      <c r="A899" s="14"/>
    </row>
    <row r="900" ht="39.75" customHeight="1">
      <c r="A900" s="14"/>
    </row>
    <row r="901" ht="39.75" customHeight="1">
      <c r="A901" s="14"/>
    </row>
    <row r="902" ht="39.75" customHeight="1">
      <c r="A902" s="14"/>
    </row>
    <row r="903" ht="39.75" customHeight="1">
      <c r="A903" s="14"/>
    </row>
    <row r="904" ht="39.75" customHeight="1">
      <c r="A904" s="14"/>
    </row>
    <row r="905" ht="39.75" customHeight="1">
      <c r="A905" s="14"/>
    </row>
    <row r="906" ht="39.75" customHeight="1">
      <c r="A906" s="14"/>
    </row>
    <row r="907" ht="39.75" customHeight="1">
      <c r="A907" s="14"/>
    </row>
    <row r="908" ht="39.75" customHeight="1">
      <c r="A908" s="14"/>
    </row>
    <row r="909" ht="39.75" customHeight="1">
      <c r="A909" s="14"/>
    </row>
    <row r="910" ht="39.75" customHeight="1">
      <c r="A910" s="14"/>
    </row>
    <row r="911" ht="39.75" customHeight="1">
      <c r="A911" s="14"/>
    </row>
    <row r="912" ht="39.75" customHeight="1">
      <c r="A912" s="14"/>
    </row>
    <row r="913" ht="39.75" customHeight="1">
      <c r="A913" s="14"/>
    </row>
    <row r="914" ht="39.75" customHeight="1">
      <c r="A914" s="14"/>
    </row>
    <row r="915" ht="39.75" customHeight="1">
      <c r="A915" s="14"/>
    </row>
    <row r="916" ht="39.75" customHeight="1">
      <c r="A916" s="14"/>
    </row>
    <row r="917" ht="39.75" customHeight="1">
      <c r="A917" s="14"/>
    </row>
    <row r="918" ht="39.75" customHeight="1">
      <c r="A918" s="14"/>
    </row>
    <row r="919" ht="39.75" customHeight="1">
      <c r="A919" s="14"/>
    </row>
    <row r="920" ht="39.75" customHeight="1">
      <c r="A920" s="14"/>
    </row>
    <row r="921" ht="39.75" customHeight="1">
      <c r="A921" s="14"/>
    </row>
    <row r="922" ht="39.75" customHeight="1">
      <c r="A922" s="14"/>
    </row>
    <row r="923" ht="39.75" customHeight="1">
      <c r="A923" s="14"/>
    </row>
    <row r="924" ht="39.75" customHeight="1">
      <c r="A924" s="14"/>
    </row>
    <row r="925" ht="39.75" customHeight="1">
      <c r="A925" s="14"/>
    </row>
    <row r="926" ht="39.75" customHeight="1">
      <c r="A926" s="14"/>
    </row>
    <row r="927" ht="39.75" customHeight="1">
      <c r="A927" s="14"/>
    </row>
    <row r="928" ht="39.75" customHeight="1">
      <c r="A928" s="14"/>
    </row>
    <row r="929" ht="39.75" customHeight="1">
      <c r="A929" s="14"/>
    </row>
    <row r="930" ht="39.75" customHeight="1">
      <c r="A930" s="14"/>
    </row>
    <row r="931" ht="39.75" customHeight="1">
      <c r="A931" s="14"/>
    </row>
    <row r="932" ht="39.75" customHeight="1">
      <c r="A932" s="14"/>
    </row>
    <row r="933" ht="39.75" customHeight="1">
      <c r="A933" s="14"/>
    </row>
    <row r="934" ht="39.75" customHeight="1">
      <c r="A934" s="14"/>
    </row>
    <row r="935" ht="39.75" customHeight="1">
      <c r="A935" s="14"/>
    </row>
    <row r="936" ht="39.75" customHeight="1">
      <c r="A936" s="14"/>
    </row>
    <row r="937" ht="39.75" customHeight="1">
      <c r="A937" s="14"/>
    </row>
    <row r="938" ht="39.75" customHeight="1">
      <c r="A938" s="14"/>
    </row>
    <row r="939" ht="39.75" customHeight="1">
      <c r="A939" s="14"/>
    </row>
    <row r="940" ht="39.75" customHeight="1">
      <c r="A940" s="14"/>
    </row>
    <row r="941" ht="39.75" customHeight="1">
      <c r="A941" s="14"/>
    </row>
    <row r="942" ht="39.75" customHeight="1">
      <c r="A942" s="14"/>
    </row>
    <row r="943" ht="39.75" customHeight="1">
      <c r="A943" s="14"/>
    </row>
    <row r="944" ht="39.75" customHeight="1">
      <c r="A944" s="14"/>
    </row>
    <row r="945" ht="39.75" customHeight="1">
      <c r="A945" s="14"/>
    </row>
    <row r="946" ht="39.75" customHeight="1">
      <c r="A946" s="14"/>
    </row>
    <row r="947" ht="39.75" customHeight="1">
      <c r="A947" s="14"/>
    </row>
    <row r="948" ht="39.75" customHeight="1">
      <c r="A948" s="14"/>
    </row>
    <row r="949" ht="39.75" customHeight="1">
      <c r="A949" s="14"/>
    </row>
    <row r="950" ht="39.75" customHeight="1">
      <c r="A950" s="14"/>
    </row>
    <row r="951" ht="39.75" customHeight="1">
      <c r="A951" s="14"/>
    </row>
    <row r="952" ht="39.75" customHeight="1">
      <c r="A952" s="14"/>
    </row>
    <row r="953" ht="39.75" customHeight="1">
      <c r="A953" s="14"/>
    </row>
    <row r="954" ht="39.75" customHeight="1">
      <c r="A954" s="14"/>
    </row>
    <row r="955" ht="39.75" customHeight="1">
      <c r="A955" s="14"/>
    </row>
    <row r="956" ht="39.75" customHeight="1">
      <c r="A956" s="14"/>
    </row>
    <row r="957" ht="39.75" customHeight="1">
      <c r="A957" s="14"/>
    </row>
    <row r="958" ht="39.75" customHeight="1">
      <c r="A958" s="14"/>
    </row>
    <row r="959" ht="39.75" customHeight="1">
      <c r="A959" s="14"/>
    </row>
    <row r="960" ht="39.75" customHeight="1">
      <c r="A960" s="14"/>
    </row>
    <row r="961" ht="39.75" customHeight="1">
      <c r="A961" s="14"/>
    </row>
    <row r="962" ht="39.75" customHeight="1">
      <c r="A962" s="14"/>
    </row>
    <row r="963" ht="39.75" customHeight="1">
      <c r="A963" s="14"/>
    </row>
    <row r="964" ht="39.75" customHeight="1">
      <c r="A964" s="14"/>
    </row>
    <row r="965" ht="39.75" customHeight="1">
      <c r="A965" s="14"/>
    </row>
    <row r="966" ht="39.75" customHeight="1">
      <c r="A966" s="14"/>
    </row>
    <row r="967" ht="39.75" customHeight="1">
      <c r="A967" s="14"/>
    </row>
    <row r="968" ht="39.75" customHeight="1">
      <c r="A968" s="14"/>
    </row>
    <row r="969" ht="39.75" customHeight="1">
      <c r="A969" s="14"/>
    </row>
    <row r="970" ht="39.75" customHeight="1">
      <c r="A970" s="14"/>
    </row>
    <row r="971" ht="39.75" customHeight="1">
      <c r="A971" s="14"/>
    </row>
    <row r="972" ht="39.75" customHeight="1">
      <c r="A972" s="14"/>
    </row>
    <row r="973" ht="39.75" customHeight="1">
      <c r="A973" s="14"/>
    </row>
    <row r="974" ht="39.75" customHeight="1">
      <c r="A974" s="14"/>
    </row>
    <row r="975" ht="39.75" customHeight="1">
      <c r="A975" s="14"/>
    </row>
    <row r="976" ht="39.75" customHeight="1">
      <c r="A976" s="14"/>
    </row>
    <row r="977" ht="39.75" customHeight="1">
      <c r="A977" s="14"/>
    </row>
    <row r="978" ht="39.75" customHeight="1">
      <c r="A978" s="14"/>
    </row>
    <row r="979" ht="39.75" customHeight="1">
      <c r="A979" s="14"/>
    </row>
    <row r="980" ht="39.75" customHeight="1">
      <c r="A980" s="14"/>
    </row>
    <row r="981" ht="39.75" customHeight="1">
      <c r="A981" s="14"/>
    </row>
    <row r="982" ht="39.75" customHeight="1">
      <c r="A982" s="14"/>
    </row>
    <row r="983" ht="39.75" customHeight="1">
      <c r="A983" s="14"/>
    </row>
    <row r="984" ht="39.75" customHeight="1">
      <c r="A984" s="14"/>
    </row>
    <row r="985" ht="39.75" customHeight="1">
      <c r="A985" s="14"/>
    </row>
    <row r="986" ht="39.75" customHeight="1">
      <c r="A986" s="14"/>
    </row>
    <row r="987" ht="39.75" customHeight="1">
      <c r="A987" s="14"/>
    </row>
    <row r="988" ht="39.75" customHeight="1">
      <c r="A988" s="14"/>
    </row>
    <row r="989" ht="39.75" customHeight="1">
      <c r="A989" s="14"/>
    </row>
    <row r="990" ht="39.75" customHeight="1">
      <c r="A990" s="14"/>
    </row>
    <row r="991" ht="39.75" customHeight="1">
      <c r="A991" s="14"/>
    </row>
    <row r="992" ht="39.75" customHeight="1">
      <c r="A992" s="14"/>
    </row>
    <row r="993" ht="39.75" customHeight="1">
      <c r="A993" s="14"/>
    </row>
    <row r="994" ht="39.75" customHeight="1">
      <c r="A994" s="14"/>
    </row>
    <row r="995" ht="39.75" customHeight="1">
      <c r="A995" s="14"/>
    </row>
    <row r="996" ht="39.75" customHeight="1">
      <c r="A996" s="14"/>
    </row>
    <row r="997" ht="39.75" customHeight="1">
      <c r="A997" s="14"/>
    </row>
    <row r="998" ht="39.75" customHeight="1">
      <c r="A998" s="14"/>
    </row>
    <row r="999" ht="39.75" customHeight="1">
      <c r="A999" s="14"/>
    </row>
    <row r="1000" ht="39.75" customHeight="1">
      <c r="A1000" s="14"/>
    </row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8.71"/>
    <col customWidth="1" min="3" max="3" width="92.29"/>
  </cols>
  <sheetData>
    <row r="1" ht="36.75" customHeight="1">
      <c r="A1" s="16" t="s">
        <v>4484</v>
      </c>
      <c r="B1" s="16" t="str">
        <f>IMAGE("https://lmztiles.s3.eu-west-1.amazonaws.com/Modern_Interiors_v41.3.4/1_Interiors/16x16/Theme_Sorter_Singles/20_Japanese_Interiors_Singles/Japanese_Interiors_Singles_1.png")</f>
        <v/>
      </c>
    </row>
    <row r="2" ht="36.75" customHeight="1">
      <c r="A2" s="16" t="s">
        <v>4485</v>
      </c>
      <c r="B2" s="16" t="str">
        <f>IMAGE("https://lmztiles.s3.eu-west-1.amazonaws.com/Modern_Interiors_v41.3.4/1_Interiors/16x16/Theme_Sorter_Singles/20_Japanese_Interiors_Singles/Japanese_Interiors_Singles_2.png")</f>
        <v/>
      </c>
    </row>
    <row r="3" ht="36.75" customHeight="1">
      <c r="A3" s="16" t="s">
        <v>4486</v>
      </c>
      <c r="B3" s="16" t="str">
        <f>IMAGE("https://lmztiles.s3.eu-west-1.amazonaws.com/Modern_Interiors_v41.3.4/1_Interiors/16x16/Theme_Sorter_Singles/20_Japanese_Interiors_Singles/Japanese_Interiors_Singles_3.png")</f>
        <v/>
      </c>
    </row>
    <row r="4" ht="36.75" customHeight="1">
      <c r="A4" s="16" t="s">
        <v>4487</v>
      </c>
      <c r="B4" s="16" t="str">
        <f>IMAGE("https://lmztiles.s3.eu-west-1.amazonaws.com/Modern_Interiors_v41.3.4/1_Interiors/16x16/Theme_Sorter_Singles/20_Japanese_Interiors_Singles/Japanese_Interiors_Singles_4.png")</f>
        <v/>
      </c>
    </row>
    <row r="5" ht="36.75" customHeight="1">
      <c r="A5" s="16" t="s">
        <v>4488</v>
      </c>
      <c r="B5" s="16" t="str">
        <f>IMAGE("https://lmztiles.s3.eu-west-1.amazonaws.com/Modern_Interiors_v41.3.4/1_Interiors/16x16/Theme_Sorter_Singles/20_Japanese_Interiors_Singles/Japanese_Interiors_Singles_5.png")</f>
        <v/>
      </c>
    </row>
    <row r="6" ht="36.75" customHeight="1">
      <c r="A6" s="16" t="s">
        <v>4489</v>
      </c>
      <c r="B6" s="16" t="str">
        <f>IMAGE("https://lmztiles.s3.eu-west-1.amazonaws.com/Modern_Interiors_v41.3.4/1_Interiors/16x16/Theme_Sorter_Singles/20_Japanese_Interiors_Singles/Japanese_Interiors_Singles_6.png")</f>
        <v/>
      </c>
    </row>
    <row r="7" ht="36.75" customHeight="1">
      <c r="A7" s="16" t="s">
        <v>4490</v>
      </c>
      <c r="B7" s="16" t="str">
        <f>IMAGE("https://lmztiles.s3.eu-west-1.amazonaws.com/Modern_Interiors_v41.3.4/1_Interiors/16x16/Theme_Sorter_Singles/20_Japanese_Interiors_Singles/Japanese_Interiors_Singles_7.png")</f>
        <v/>
      </c>
    </row>
    <row r="8" ht="36.75" customHeight="1">
      <c r="A8" s="16" t="s">
        <v>4491</v>
      </c>
      <c r="B8" s="16" t="str">
        <f>IMAGE("https://lmztiles.s3.eu-west-1.amazonaws.com/Modern_Interiors_v41.3.4/1_Interiors/16x16/Theme_Sorter_Singles/20_Japanese_Interiors_Singles/Japanese_Interiors_Singles_8.png")</f>
        <v/>
      </c>
    </row>
    <row r="9" ht="36.75" customHeight="1">
      <c r="A9" s="16" t="s">
        <v>4492</v>
      </c>
      <c r="B9" s="16" t="str">
        <f>IMAGE("https://lmztiles.s3.eu-west-1.amazonaws.com/Modern_Interiors_v41.3.4/1_Interiors/16x16/Theme_Sorter_Singles/20_Japanese_Interiors_Singles/Japanese_Interiors_Singles_9.png")</f>
        <v/>
      </c>
    </row>
    <row r="10" ht="36.75" customHeight="1">
      <c r="A10" s="16" t="s">
        <v>4493</v>
      </c>
      <c r="B10" s="16" t="str">
        <f>IMAGE("https://lmztiles.s3.eu-west-1.amazonaws.com/Modern_Interiors_v41.3.4/1_Interiors/16x16/Theme_Sorter_Singles/20_Japanese_Interiors_Singles/Japanese_Interiors_Singles_10.png")</f>
        <v/>
      </c>
    </row>
    <row r="11" ht="36.75" customHeight="1">
      <c r="A11" s="16" t="s">
        <v>4494</v>
      </c>
      <c r="B11" s="16" t="str">
        <f>IMAGE("https://lmztiles.s3.eu-west-1.amazonaws.com/Modern_Interiors_v41.3.4/1_Interiors/16x16/Theme_Sorter_Singles/20_Japanese_Interiors_Singles/Japanese_Interiors_Singles_11.png")</f>
        <v/>
      </c>
    </row>
    <row r="12" ht="36.75" customHeight="1">
      <c r="A12" s="16" t="s">
        <v>4495</v>
      </c>
      <c r="B12" s="16" t="str">
        <f>IMAGE("https://lmztiles.s3.eu-west-1.amazonaws.com/Modern_Interiors_v41.3.4/1_Interiors/16x16/Theme_Sorter_Singles/20_Japanese_Interiors_Singles/Japanese_Interiors_Singles_12.png")</f>
        <v/>
      </c>
    </row>
    <row r="13" ht="36.75" customHeight="1">
      <c r="A13" s="16" t="s">
        <v>4496</v>
      </c>
      <c r="B13" s="16" t="str">
        <f>IMAGE("https://lmztiles.s3.eu-west-1.amazonaws.com/Modern_Interiors_v41.3.4/1_Interiors/16x16/Theme_Sorter_Singles/20_Japanese_Interiors_Singles/Japanese_Interiors_Singles_13.png")</f>
        <v/>
      </c>
    </row>
    <row r="14" ht="36.75" customHeight="1">
      <c r="A14" s="16" t="s">
        <v>4497</v>
      </c>
      <c r="B14" s="16" t="str">
        <f>IMAGE("https://lmztiles.s3.eu-west-1.amazonaws.com/Modern_Interiors_v41.3.4/1_Interiors/16x16/Theme_Sorter_Singles/20_Japanese_Interiors_Singles/Japanese_Interiors_Singles_14.png")</f>
        <v/>
      </c>
    </row>
    <row r="15" ht="36.75" customHeight="1">
      <c r="A15" s="16" t="s">
        <v>4498</v>
      </c>
      <c r="B15" s="16" t="str">
        <f>IMAGE("https://lmztiles.s3.eu-west-1.amazonaws.com/Modern_Interiors_v41.3.4/1_Interiors/16x16/Theme_Sorter_Singles/20_Japanese_Interiors_Singles/Japanese_Interiors_Singles_15.png")</f>
        <v/>
      </c>
    </row>
    <row r="16" ht="36.75" customHeight="1">
      <c r="A16" s="16" t="s">
        <v>4499</v>
      </c>
      <c r="B16" s="16" t="str">
        <f>IMAGE("https://lmztiles.s3.eu-west-1.amazonaws.com/Modern_Interiors_v41.3.4/1_Interiors/16x16/Theme_Sorter_Singles/20_Japanese_Interiors_Singles/Japanese_Interiors_Singles_16.png")</f>
        <v/>
      </c>
    </row>
    <row r="17" ht="36.75" customHeight="1">
      <c r="A17" s="16" t="s">
        <v>4500</v>
      </c>
      <c r="B17" s="16" t="str">
        <f>IMAGE("https://lmztiles.s3.eu-west-1.amazonaws.com/Modern_Interiors_v41.3.4/1_Interiors/16x16/Theme_Sorter_Singles/20_Japanese_Interiors_Singles/Japanese_Interiors_Singles_17.png")</f>
        <v/>
      </c>
    </row>
    <row r="18" ht="36.75" customHeight="1">
      <c r="A18" s="16" t="s">
        <v>4501</v>
      </c>
      <c r="B18" s="16" t="str">
        <f>IMAGE("https://lmztiles.s3.eu-west-1.amazonaws.com/Modern_Interiors_v41.3.4/1_Interiors/16x16/Theme_Sorter_Singles/20_Japanese_Interiors_Singles/Japanese_Interiors_Singles_18.png")</f>
        <v/>
      </c>
    </row>
    <row r="19" ht="36.75" customHeight="1">
      <c r="A19" s="16" t="s">
        <v>4502</v>
      </c>
      <c r="B19" s="16" t="str">
        <f>IMAGE("https://lmztiles.s3.eu-west-1.amazonaws.com/Modern_Interiors_v41.3.4/1_Interiors/16x16/Theme_Sorter_Singles/20_Japanese_Interiors_Singles/Japanese_Interiors_Singles_19.png")</f>
        <v/>
      </c>
    </row>
    <row r="20" ht="36.75" customHeight="1">
      <c r="A20" s="16" t="s">
        <v>4503</v>
      </c>
      <c r="B20" s="16" t="str">
        <f>IMAGE("https://lmztiles.s3.eu-west-1.amazonaws.com/Modern_Interiors_v41.3.4/1_Interiors/16x16/Theme_Sorter_Singles/20_Japanese_Interiors_Singles/Japanese_Interiors_Singles_20.png")</f>
        <v/>
      </c>
    </row>
    <row r="21" ht="36.75" customHeight="1">
      <c r="A21" s="16" t="s">
        <v>4504</v>
      </c>
      <c r="B21" s="16" t="str">
        <f>IMAGE("https://lmztiles.s3.eu-west-1.amazonaws.com/Modern_Interiors_v41.3.4/1_Interiors/16x16/Theme_Sorter_Singles/20_Japanese_Interiors_Singles/Japanese_Interiors_Singles_21.png")</f>
        <v/>
      </c>
    </row>
    <row r="22" ht="36.75" customHeight="1">
      <c r="A22" s="16" t="s">
        <v>4505</v>
      </c>
      <c r="B22" s="16" t="str">
        <f>IMAGE("https://lmztiles.s3.eu-west-1.amazonaws.com/Modern_Interiors_v41.3.4/1_Interiors/16x16/Theme_Sorter_Singles/20_Japanese_Interiors_Singles/Japanese_Interiors_Singles_22.png")</f>
        <v/>
      </c>
    </row>
    <row r="23" ht="36.75" customHeight="1">
      <c r="A23" s="16" t="s">
        <v>4506</v>
      </c>
      <c r="B23" s="16" t="str">
        <f>IMAGE("https://lmztiles.s3.eu-west-1.amazonaws.com/Modern_Interiors_v41.3.4/1_Interiors/16x16/Theme_Sorter_Singles/20_Japanese_Interiors_Singles/Japanese_Interiors_Singles_23.png")</f>
        <v/>
      </c>
    </row>
    <row r="24" ht="36.75" customHeight="1">
      <c r="A24" s="16" t="s">
        <v>4507</v>
      </c>
      <c r="B24" s="16" t="str">
        <f>IMAGE("https://lmztiles.s3.eu-west-1.amazonaws.com/Modern_Interiors_v41.3.4/1_Interiors/16x16/Theme_Sorter_Singles/20_Japanese_Interiors_Singles/Japanese_Interiors_Singles_24.png")</f>
        <v/>
      </c>
    </row>
    <row r="25" ht="36.75" customHeight="1">
      <c r="A25" s="16" t="s">
        <v>4508</v>
      </c>
      <c r="B25" s="16" t="str">
        <f>IMAGE("https://lmztiles.s3.eu-west-1.amazonaws.com/Modern_Interiors_v41.3.4/1_Interiors/16x16/Theme_Sorter_Singles/20_Japanese_Interiors_Singles/Japanese_Interiors_Singles_25.png")</f>
        <v/>
      </c>
    </row>
    <row r="26" ht="36.75" customHeight="1">
      <c r="A26" s="16" t="s">
        <v>4509</v>
      </c>
      <c r="B26" s="16" t="str">
        <f>IMAGE("https://lmztiles.s3.eu-west-1.amazonaws.com/Modern_Interiors_v41.3.4/1_Interiors/16x16/Theme_Sorter_Singles/20_Japanese_Interiors_Singles/Japanese_Interiors_Singles_26.png")</f>
        <v/>
      </c>
    </row>
    <row r="27" ht="36.75" customHeight="1">
      <c r="A27" s="16" t="s">
        <v>4510</v>
      </c>
      <c r="B27" s="16" t="str">
        <f>IMAGE("https://lmztiles.s3.eu-west-1.amazonaws.com/Modern_Interiors_v41.3.4/1_Interiors/16x16/Theme_Sorter_Singles/20_Japanese_Interiors_Singles/Japanese_Interiors_Singles_27.png")</f>
        <v/>
      </c>
    </row>
    <row r="28" ht="36.75" customHeight="1">
      <c r="A28" s="16" t="s">
        <v>4511</v>
      </c>
      <c r="B28" s="16" t="str">
        <f>IMAGE("https://lmztiles.s3.eu-west-1.amazonaws.com/Modern_Interiors_v41.3.4/1_Interiors/16x16/Theme_Sorter_Singles/20_Japanese_Interiors_Singles/Japanese_Interiors_Singles_28.png")</f>
        <v/>
      </c>
    </row>
    <row r="29" ht="36.75" customHeight="1">
      <c r="A29" s="16" t="s">
        <v>4512</v>
      </c>
      <c r="B29" s="16" t="str">
        <f>IMAGE("https://lmztiles.s3.eu-west-1.amazonaws.com/Modern_Interiors_v41.3.4/1_Interiors/16x16/Theme_Sorter_Singles/20_Japanese_Interiors_Singles/Japanese_Interiors_Singles_29.png")</f>
        <v/>
      </c>
    </row>
    <row r="30" ht="36.75" customHeight="1">
      <c r="A30" s="16" t="s">
        <v>4513</v>
      </c>
      <c r="B30" s="16" t="str">
        <f>IMAGE("https://lmztiles.s3.eu-west-1.amazonaws.com/Modern_Interiors_v41.3.4/1_Interiors/16x16/Theme_Sorter_Singles/20_Japanese_Interiors_Singles/Japanese_Interiors_Singles_30.png")</f>
        <v/>
      </c>
    </row>
    <row r="31" ht="36.75" customHeight="1">
      <c r="A31" s="16" t="s">
        <v>4514</v>
      </c>
      <c r="B31" s="16" t="str">
        <f>IMAGE("https://lmztiles.s3.eu-west-1.amazonaws.com/Modern_Interiors_v41.3.4/1_Interiors/16x16/Theme_Sorter_Singles/20_Japanese_Interiors_Singles/Japanese_Interiors_Singles_31.png")</f>
        <v/>
      </c>
    </row>
    <row r="32" ht="36.75" customHeight="1">
      <c r="A32" s="16" t="s">
        <v>4515</v>
      </c>
      <c r="B32" s="16" t="str">
        <f>IMAGE("https://lmztiles.s3.eu-west-1.amazonaws.com/Modern_Interiors_v41.3.4/1_Interiors/16x16/Theme_Sorter_Singles/20_Japanese_Interiors_Singles/Japanese_Interiors_Singles_32.png")</f>
        <v/>
      </c>
    </row>
    <row r="33" ht="36.75" customHeight="1">
      <c r="A33" s="16" t="s">
        <v>4516</v>
      </c>
      <c r="B33" s="16" t="str">
        <f>IMAGE("https://lmztiles.s3.eu-west-1.amazonaws.com/Modern_Interiors_v41.3.4/1_Interiors/16x16/Theme_Sorter_Singles/20_Japanese_Interiors_Singles/Japanese_Interiors_Singles_33.png")</f>
        <v/>
      </c>
    </row>
    <row r="34" ht="36.75" customHeight="1">
      <c r="A34" s="16" t="s">
        <v>4517</v>
      </c>
      <c r="B34" s="16" t="str">
        <f>IMAGE("https://lmztiles.s3.eu-west-1.amazonaws.com/Modern_Interiors_v41.3.4/1_Interiors/16x16/Theme_Sorter_Singles/20_Japanese_Interiors_Singles/Japanese_Interiors_Singles_34.png")</f>
        <v/>
      </c>
    </row>
    <row r="35" ht="36.75" customHeight="1">
      <c r="A35" s="16" t="s">
        <v>4518</v>
      </c>
      <c r="B35" s="16" t="str">
        <f>IMAGE("https://lmztiles.s3.eu-west-1.amazonaws.com/Modern_Interiors_v41.3.4/1_Interiors/16x16/Theme_Sorter_Singles/20_Japanese_Interiors_Singles/Japanese_Interiors_Singles_35.png")</f>
        <v/>
      </c>
    </row>
    <row r="36" ht="36.75" customHeight="1">
      <c r="A36" s="16" t="s">
        <v>4519</v>
      </c>
      <c r="B36" s="16" t="str">
        <f>IMAGE("https://lmztiles.s3.eu-west-1.amazonaws.com/Modern_Interiors_v41.3.4/1_Interiors/16x16/Theme_Sorter_Singles/20_Japanese_Interiors_Singles/Japanese_Interiors_Singles_36.png")</f>
        <v/>
      </c>
    </row>
    <row r="37" ht="36.75" customHeight="1">
      <c r="A37" s="16" t="s">
        <v>4520</v>
      </c>
      <c r="B37" s="16" t="str">
        <f>IMAGE("https://lmztiles.s3.eu-west-1.amazonaws.com/Modern_Interiors_v41.3.4/1_Interiors/16x16/Theme_Sorter_Singles/20_Japanese_Interiors_Singles/Japanese_Interiors_Singles_37.png")</f>
        <v/>
      </c>
    </row>
    <row r="38" ht="36.75" customHeight="1">
      <c r="A38" s="16" t="s">
        <v>4521</v>
      </c>
      <c r="B38" s="16" t="str">
        <f>IMAGE("https://lmztiles.s3.eu-west-1.amazonaws.com/Modern_Interiors_v41.3.4/1_Interiors/16x16/Theme_Sorter_Singles/20_Japanese_Interiors_Singles/Japanese_Interiors_Singles_38.png")</f>
        <v/>
      </c>
    </row>
    <row r="39" ht="36.75" customHeight="1">
      <c r="A39" s="16" t="s">
        <v>4522</v>
      </c>
      <c r="B39" s="16" t="str">
        <f>IMAGE("https://lmztiles.s3.eu-west-1.amazonaws.com/Modern_Interiors_v41.3.4/1_Interiors/16x16/Theme_Sorter_Singles/20_Japanese_Interiors_Singles/Japanese_Interiors_Singles_39.png")</f>
        <v/>
      </c>
    </row>
    <row r="40" ht="36.75" customHeight="1">
      <c r="A40" s="16" t="s">
        <v>4523</v>
      </c>
      <c r="B40" s="16" t="str">
        <f>IMAGE("https://lmztiles.s3.eu-west-1.amazonaws.com/Modern_Interiors_v41.3.4/1_Interiors/16x16/Theme_Sorter_Singles/20_Japanese_Interiors_Singles/Japanese_Interiors_Singles_40.png")</f>
        <v/>
      </c>
    </row>
    <row r="41" ht="36.75" customHeight="1">
      <c r="A41" s="16" t="s">
        <v>4524</v>
      </c>
      <c r="B41" s="16" t="str">
        <f>IMAGE("https://lmztiles.s3.eu-west-1.amazonaws.com/Modern_Interiors_v41.3.4/1_Interiors/16x16/Theme_Sorter_Singles/20_Japanese_Interiors_Singles/Japanese_Interiors_Singles_41.png")</f>
        <v/>
      </c>
    </row>
    <row r="42" ht="36.75" customHeight="1">
      <c r="A42" s="16" t="s">
        <v>4525</v>
      </c>
      <c r="B42" s="16" t="str">
        <f>IMAGE("https://lmztiles.s3.eu-west-1.amazonaws.com/Modern_Interiors_v41.3.4/1_Interiors/16x16/Theme_Sorter_Singles/20_Japanese_Interiors_Singles/Japanese_Interiors_Singles_42.png")</f>
        <v/>
      </c>
    </row>
    <row r="43" ht="36.75" customHeight="1">
      <c r="A43" s="16" t="s">
        <v>4526</v>
      </c>
      <c r="B43" s="16" t="str">
        <f>IMAGE("https://lmztiles.s3.eu-west-1.amazonaws.com/Modern_Interiors_v41.3.4/1_Interiors/16x16/Theme_Sorter_Singles/20_Japanese_Interiors_Singles/Japanese_Interiors_Singles_43.png")</f>
        <v/>
      </c>
    </row>
    <row r="44" ht="36.75" customHeight="1">
      <c r="A44" s="16" t="s">
        <v>4527</v>
      </c>
      <c r="B44" s="16" t="str">
        <f>IMAGE("https://lmztiles.s3.eu-west-1.amazonaws.com/Modern_Interiors_v41.3.4/1_Interiors/16x16/Theme_Sorter_Singles/20_Japanese_Interiors_Singles/Japanese_Interiors_Singles_44.png")</f>
        <v/>
      </c>
    </row>
    <row r="45" ht="36.75" customHeight="1">
      <c r="A45" s="16" t="s">
        <v>4528</v>
      </c>
      <c r="B45" s="16" t="str">
        <f>IMAGE("https://lmztiles.s3.eu-west-1.amazonaws.com/Modern_Interiors_v41.3.4/1_Interiors/16x16/Theme_Sorter_Singles/20_Japanese_Interiors_Singles/Japanese_Interiors_Singles_45.png")</f>
        <v/>
      </c>
    </row>
    <row r="46" ht="36.75" customHeight="1">
      <c r="A46" s="16" t="s">
        <v>4529</v>
      </c>
      <c r="B46" s="16" t="str">
        <f>IMAGE("https://lmztiles.s3.eu-west-1.amazonaws.com/Modern_Interiors_v41.3.4/1_Interiors/16x16/Theme_Sorter_Singles/20_Japanese_Interiors_Singles/Japanese_Interiors_Singles_46.png")</f>
        <v/>
      </c>
    </row>
    <row r="47" ht="36.75" customHeight="1">
      <c r="A47" s="16" t="s">
        <v>4530</v>
      </c>
      <c r="B47" s="16" t="str">
        <f>IMAGE("https://lmztiles.s3.eu-west-1.amazonaws.com/Modern_Interiors_v41.3.4/1_Interiors/16x16/Theme_Sorter_Singles/20_Japanese_Interiors_Singles/Japanese_Interiors_Singles_47.png")</f>
        <v/>
      </c>
    </row>
    <row r="48" ht="36.75" customHeight="1">
      <c r="A48" s="16" t="s">
        <v>4531</v>
      </c>
      <c r="B48" s="16" t="str">
        <f>IMAGE("https://lmztiles.s3.eu-west-1.amazonaws.com/Modern_Interiors_v41.3.4/1_Interiors/16x16/Theme_Sorter_Singles/20_Japanese_Interiors_Singles/Japanese_Interiors_Singles_48.png")</f>
        <v/>
      </c>
    </row>
    <row r="49" ht="36.75" customHeight="1">
      <c r="A49" s="16" t="s">
        <v>4532</v>
      </c>
      <c r="B49" s="16" t="str">
        <f>IMAGE("https://lmztiles.s3.eu-west-1.amazonaws.com/Modern_Interiors_v41.3.4/1_Interiors/16x16/Theme_Sorter_Singles/20_Japanese_Interiors_Singles/Japanese_Interiors_Singles_49.png")</f>
        <v/>
      </c>
    </row>
    <row r="50" ht="36.75" customHeight="1">
      <c r="A50" s="16" t="s">
        <v>4533</v>
      </c>
      <c r="B50" s="16" t="str">
        <f>IMAGE("https://lmztiles.s3.eu-west-1.amazonaws.com/Modern_Interiors_v41.3.4/1_Interiors/16x16/Theme_Sorter_Singles/20_Japanese_Interiors_Singles/Japanese_Interiors_Singles_50.png")</f>
        <v/>
      </c>
    </row>
    <row r="51" ht="36.75" customHeight="1">
      <c r="A51" s="16" t="s">
        <v>4534</v>
      </c>
      <c r="B51" s="16" t="str">
        <f>IMAGE("https://lmztiles.s3.eu-west-1.amazonaws.com/Modern_Interiors_v41.3.4/1_Interiors/16x16/Theme_Sorter_Singles/20_Japanese_Interiors_Singles/Japanese_Interiors_Singles_51.png")</f>
        <v/>
      </c>
    </row>
    <row r="52" ht="36.75" customHeight="1">
      <c r="A52" s="16" t="s">
        <v>4535</v>
      </c>
      <c r="B52" s="16" t="str">
        <f>IMAGE("https://lmztiles.s3.eu-west-1.amazonaws.com/Modern_Interiors_v41.3.4/1_Interiors/16x16/Theme_Sorter_Singles/20_Japanese_Interiors_Singles/Japanese_Interiors_Singles_52.png")</f>
        <v/>
      </c>
    </row>
    <row r="53" ht="36.75" customHeight="1">
      <c r="A53" s="16" t="s">
        <v>4536</v>
      </c>
      <c r="B53" s="16" t="str">
        <f>IMAGE("https://lmztiles.s3.eu-west-1.amazonaws.com/Modern_Interiors_v41.3.4/1_Interiors/16x16/Theme_Sorter_Singles/20_Japanese_Interiors_Singles/Japanese_Interiors_Singles_53.png")</f>
        <v/>
      </c>
    </row>
    <row r="54" ht="36.75" customHeight="1">
      <c r="A54" s="16" t="s">
        <v>4537</v>
      </c>
      <c r="B54" s="16" t="str">
        <f>IMAGE("https://lmztiles.s3.eu-west-1.amazonaws.com/Modern_Interiors_v41.3.4/1_Interiors/16x16/Theme_Sorter_Singles/20_Japanese_Interiors_Singles/Japanese_Interiors_Singles_54.png")</f>
        <v/>
      </c>
    </row>
    <row r="55" ht="36.75" customHeight="1">
      <c r="A55" s="16" t="s">
        <v>4538</v>
      </c>
      <c r="B55" s="16" t="str">
        <f>IMAGE("https://lmztiles.s3.eu-west-1.amazonaws.com/Modern_Interiors_v41.3.4/1_Interiors/16x16/Theme_Sorter_Singles/20_Japanese_Interiors_Singles/Japanese_Interiors_Singles_55.png")</f>
        <v/>
      </c>
    </row>
    <row r="56" ht="36.75" customHeight="1">
      <c r="A56" s="16" t="s">
        <v>4539</v>
      </c>
      <c r="B56" s="16" t="str">
        <f>IMAGE("https://lmztiles.s3.eu-west-1.amazonaws.com/Modern_Interiors_v41.3.4/1_Interiors/16x16/Theme_Sorter_Singles/20_Japanese_Interiors_Singles/Japanese_Interiors_Singles_56.png")</f>
        <v/>
      </c>
    </row>
    <row r="57" ht="36.75" customHeight="1">
      <c r="A57" s="16" t="s">
        <v>4540</v>
      </c>
      <c r="B57" s="16" t="str">
        <f>IMAGE("https://lmztiles.s3.eu-west-1.amazonaws.com/Modern_Interiors_v41.3.4/1_Interiors/16x16/Theme_Sorter_Singles/20_Japanese_Interiors_Singles/Japanese_Interiors_Singles_57.png")</f>
        <v/>
      </c>
    </row>
    <row r="58" ht="36.75" customHeight="1">
      <c r="A58" s="16" t="s">
        <v>4541</v>
      </c>
      <c r="B58" s="16" t="str">
        <f>IMAGE("https://lmztiles.s3.eu-west-1.amazonaws.com/Modern_Interiors_v41.3.4/1_Interiors/16x16/Theme_Sorter_Singles/20_Japanese_Interiors_Singles/Japanese_Interiors_Singles_58.png")</f>
        <v/>
      </c>
    </row>
    <row r="59" ht="36.75" customHeight="1">
      <c r="A59" s="16" t="s">
        <v>4542</v>
      </c>
      <c r="B59" s="16" t="str">
        <f>IMAGE("https://lmztiles.s3.eu-west-1.amazonaws.com/Modern_Interiors_v41.3.4/1_Interiors/16x16/Theme_Sorter_Singles/20_Japanese_Interiors_Singles/Japanese_Interiors_Singles_59.png")</f>
        <v/>
      </c>
    </row>
    <row r="60" ht="36.75" customHeight="1">
      <c r="A60" s="16" t="s">
        <v>4543</v>
      </c>
      <c r="B60" s="16" t="str">
        <f>IMAGE("https://lmztiles.s3.eu-west-1.amazonaws.com/Modern_Interiors_v41.3.4/1_Interiors/16x16/Theme_Sorter_Singles/20_Japanese_Interiors_Singles/Japanese_Interiors_Singles_60.png")</f>
        <v/>
      </c>
    </row>
    <row r="61" ht="36.75" customHeight="1">
      <c r="A61" s="16" t="s">
        <v>4544</v>
      </c>
      <c r="B61" s="16" t="str">
        <f>IMAGE("https://lmztiles.s3.eu-west-1.amazonaws.com/Modern_Interiors_v41.3.4/1_Interiors/16x16/Theme_Sorter_Singles/20_Japanese_Interiors_Singles/Japanese_Interiors_Singles_61.png")</f>
        <v/>
      </c>
    </row>
    <row r="62" ht="36.75" customHeight="1">
      <c r="A62" s="16" t="s">
        <v>4545</v>
      </c>
      <c r="B62" s="16" t="str">
        <f>IMAGE("https://lmztiles.s3.eu-west-1.amazonaws.com/Modern_Interiors_v41.3.4/1_Interiors/16x16/Theme_Sorter_Singles/20_Japanese_Interiors_Singles/Japanese_Interiors_Singles_62.png")</f>
        <v/>
      </c>
    </row>
    <row r="63" ht="36.75" customHeight="1">
      <c r="A63" s="16" t="s">
        <v>4546</v>
      </c>
      <c r="B63" s="16" t="str">
        <f>IMAGE("https://lmztiles.s3.eu-west-1.amazonaws.com/Modern_Interiors_v41.3.4/1_Interiors/16x16/Theme_Sorter_Singles/20_Japanese_Interiors_Singles/Japanese_Interiors_Singles_63.png")</f>
        <v/>
      </c>
    </row>
    <row r="64" ht="36.75" customHeight="1">
      <c r="A64" s="16" t="s">
        <v>4547</v>
      </c>
      <c r="B64" s="16" t="str">
        <f>IMAGE("https://lmztiles.s3.eu-west-1.amazonaws.com/Modern_Interiors_v41.3.4/1_Interiors/16x16/Theme_Sorter_Singles/20_Japanese_Interiors_Singles/Japanese_Interiors_Singles_64.png")</f>
        <v/>
      </c>
    </row>
    <row r="65" ht="36.75" customHeight="1">
      <c r="A65" s="16" t="s">
        <v>4548</v>
      </c>
      <c r="B65" s="16" t="str">
        <f>IMAGE("https://lmztiles.s3.eu-west-1.amazonaws.com/Modern_Interiors_v41.3.4/1_Interiors/16x16/Theme_Sorter_Singles/20_Japanese_Interiors_Singles/Japanese_Interiors_Singles_65.png")</f>
        <v/>
      </c>
    </row>
    <row r="66" ht="36.75" customHeight="1">
      <c r="A66" s="16" t="s">
        <v>4549</v>
      </c>
      <c r="B66" s="16" t="str">
        <f>IMAGE("https://lmztiles.s3.eu-west-1.amazonaws.com/Modern_Interiors_v41.3.4/1_Interiors/16x16/Theme_Sorter_Singles/20_Japanese_Interiors_Singles/Japanese_Interiors_Singles_66.png")</f>
        <v/>
      </c>
    </row>
    <row r="67" ht="36.75" customHeight="1">
      <c r="A67" s="16" t="s">
        <v>4550</v>
      </c>
      <c r="B67" s="16" t="str">
        <f>IMAGE("https://lmztiles.s3.eu-west-1.amazonaws.com/Modern_Interiors_v41.3.4/1_Interiors/16x16/Theme_Sorter_Singles/20_Japanese_Interiors_Singles/Japanese_Interiors_Singles_67.png")</f>
        <v/>
      </c>
    </row>
    <row r="68" ht="36.75" customHeight="1">
      <c r="A68" s="16" t="s">
        <v>4551</v>
      </c>
      <c r="B68" s="16" t="str">
        <f>IMAGE("https://lmztiles.s3.eu-west-1.amazonaws.com/Modern_Interiors_v41.3.4/1_Interiors/16x16/Theme_Sorter_Singles/20_Japanese_Interiors_Singles/Japanese_Interiors_Singles_68.png")</f>
        <v/>
      </c>
    </row>
    <row r="69" ht="36.75" customHeight="1">
      <c r="A69" s="16" t="s">
        <v>4552</v>
      </c>
      <c r="B69" s="16" t="str">
        <f>IMAGE("https://lmztiles.s3.eu-west-1.amazonaws.com/Modern_Interiors_v41.3.4/1_Interiors/16x16/Theme_Sorter_Singles/20_Japanese_Interiors_Singles/Japanese_Interiors_Singles_69.png")</f>
        <v/>
      </c>
    </row>
    <row r="70" ht="36.75" customHeight="1">
      <c r="A70" s="16" t="s">
        <v>4553</v>
      </c>
      <c r="B70" s="16" t="str">
        <f>IMAGE("https://lmztiles.s3.eu-west-1.amazonaws.com/Modern_Interiors_v41.3.4/1_Interiors/16x16/Theme_Sorter_Singles/20_Japanese_Interiors_Singles/Japanese_Interiors_Singles_70.png")</f>
        <v/>
      </c>
    </row>
    <row r="71" ht="36.75" customHeight="1">
      <c r="A71" s="16" t="s">
        <v>4554</v>
      </c>
      <c r="B71" s="16" t="str">
        <f>IMAGE("https://lmztiles.s3.eu-west-1.amazonaws.com/Modern_Interiors_v41.3.4/1_Interiors/16x16/Theme_Sorter_Singles/20_Japanese_Interiors_Singles/Japanese_Interiors_Singles_71.png")</f>
        <v/>
      </c>
    </row>
    <row r="72" ht="36.75" customHeight="1">
      <c r="A72" s="16" t="s">
        <v>4555</v>
      </c>
      <c r="B72" s="16" t="str">
        <f>IMAGE("https://lmztiles.s3.eu-west-1.amazonaws.com/Modern_Interiors_v41.3.4/1_Interiors/16x16/Theme_Sorter_Singles/20_Japanese_Interiors_Singles/Japanese_Interiors_Singles_72.png")</f>
        <v/>
      </c>
    </row>
    <row r="73" ht="36.75" customHeight="1">
      <c r="A73" s="16" t="s">
        <v>4556</v>
      </c>
      <c r="B73" s="16" t="str">
        <f>IMAGE("https://lmztiles.s3.eu-west-1.amazonaws.com/Modern_Interiors_v41.3.4/1_Interiors/16x16/Theme_Sorter_Singles/20_Japanese_Interiors_Singles/Japanese_Interiors_Singles_73.png")</f>
        <v/>
      </c>
    </row>
    <row r="74" ht="36.75" customHeight="1">
      <c r="A74" s="16" t="s">
        <v>4557</v>
      </c>
      <c r="B74" s="16" t="str">
        <f>IMAGE("https://lmztiles.s3.eu-west-1.amazonaws.com/Modern_Interiors_v41.3.4/1_Interiors/16x16/Theme_Sorter_Singles/20_Japanese_Interiors_Singles/Japanese_Interiors_Singles_74.png")</f>
        <v/>
      </c>
    </row>
    <row r="75" ht="36.75" customHeight="1">
      <c r="A75" s="16" t="s">
        <v>4558</v>
      </c>
      <c r="B75" s="16" t="str">
        <f>IMAGE("https://lmztiles.s3.eu-west-1.amazonaws.com/Modern_Interiors_v41.3.4/1_Interiors/16x16/Theme_Sorter_Singles/20_Japanese_Interiors_Singles/Japanese_Interiors_Singles_75.png")</f>
        <v/>
      </c>
    </row>
    <row r="76" ht="36.75" customHeight="1">
      <c r="A76" s="16" t="s">
        <v>4559</v>
      </c>
      <c r="B76" s="16" t="str">
        <f>IMAGE("https://lmztiles.s3.eu-west-1.amazonaws.com/Modern_Interiors_v41.3.4/1_Interiors/16x16/Theme_Sorter_Singles/20_Japanese_Interiors_Singles/Japanese_Interiors_Singles_76.png")</f>
        <v/>
      </c>
    </row>
    <row r="77" ht="36.75" customHeight="1">
      <c r="A77" s="16" t="s">
        <v>4560</v>
      </c>
      <c r="B77" s="16" t="str">
        <f>IMAGE("https://lmztiles.s3.eu-west-1.amazonaws.com/Modern_Interiors_v41.3.4/1_Interiors/16x16/Theme_Sorter_Singles/20_Japanese_Interiors_Singles/Japanese_Interiors_Singles_77.png")</f>
        <v/>
      </c>
    </row>
    <row r="78" ht="36.75" customHeight="1">
      <c r="A78" s="16" t="s">
        <v>4561</v>
      </c>
      <c r="B78" s="16" t="str">
        <f>IMAGE("https://lmztiles.s3.eu-west-1.amazonaws.com/Modern_Interiors_v41.3.4/1_Interiors/16x16/Theme_Sorter_Singles/20_Japanese_Interiors_Singles/Japanese_Interiors_Singles_78.png")</f>
        <v/>
      </c>
    </row>
    <row r="79" ht="36.75" customHeight="1">
      <c r="A79" s="16" t="s">
        <v>4562</v>
      </c>
      <c r="B79" s="16" t="str">
        <f>IMAGE("https://lmztiles.s3.eu-west-1.amazonaws.com/Modern_Interiors_v41.3.4/1_Interiors/16x16/Theme_Sorter_Singles/20_Japanese_Interiors_Singles/Japanese_Interiors_Singles_79.png")</f>
        <v/>
      </c>
    </row>
    <row r="80" ht="36.75" customHeight="1">
      <c r="A80" s="16" t="s">
        <v>4563</v>
      </c>
      <c r="B80" s="16" t="str">
        <f>IMAGE("https://lmztiles.s3.eu-west-1.amazonaws.com/Modern_Interiors_v41.3.4/1_Interiors/16x16/Theme_Sorter_Singles/20_Japanese_Interiors_Singles/Japanese_Interiors_Singles_80.png")</f>
        <v/>
      </c>
    </row>
    <row r="81" ht="36.75" customHeight="1">
      <c r="A81" s="16" t="s">
        <v>4564</v>
      </c>
      <c r="B81" s="16" t="str">
        <f>IMAGE("https://lmztiles.s3.eu-west-1.amazonaws.com/Modern_Interiors_v41.3.4/1_Interiors/16x16/Theme_Sorter_Singles/20_Japanese_Interiors_Singles/Japanese_Interiors_Singles_81.png")</f>
        <v/>
      </c>
    </row>
    <row r="82" ht="36.75" customHeight="1">
      <c r="A82" s="16" t="s">
        <v>4565</v>
      </c>
      <c r="B82" s="16" t="str">
        <f>IMAGE("https://lmztiles.s3.eu-west-1.amazonaws.com/Modern_Interiors_v41.3.4/1_Interiors/16x16/Theme_Sorter_Singles/20_Japanese_Interiors_Singles/Japanese_Interiors_Singles_82.png")</f>
        <v/>
      </c>
    </row>
    <row r="83" ht="36.75" customHeight="1">
      <c r="A83" s="16" t="s">
        <v>4566</v>
      </c>
      <c r="B83" s="16" t="str">
        <f>IMAGE("https://lmztiles.s3.eu-west-1.amazonaws.com/Modern_Interiors_v41.3.4/1_Interiors/16x16/Theme_Sorter_Singles/20_Japanese_Interiors_Singles/Japanese_Interiors_Singles_83.png")</f>
        <v/>
      </c>
    </row>
    <row r="84" ht="36.75" customHeight="1">
      <c r="A84" s="16" t="s">
        <v>4567</v>
      </c>
      <c r="B84" s="16" t="str">
        <f>IMAGE("https://lmztiles.s3.eu-west-1.amazonaws.com/Modern_Interiors_v41.3.4/1_Interiors/16x16/Theme_Sorter_Singles/20_Japanese_Interiors_Singles/Japanese_Interiors_Singles_84.png")</f>
        <v/>
      </c>
    </row>
    <row r="85" ht="36.75" customHeight="1">
      <c r="A85" s="16" t="s">
        <v>4568</v>
      </c>
      <c r="B85" s="16" t="str">
        <f>IMAGE("https://lmztiles.s3.eu-west-1.amazonaws.com/Modern_Interiors_v41.3.4/1_Interiors/16x16/Theme_Sorter_Singles/20_Japanese_Interiors_Singles/Japanese_Interiors_Singles_85.png")</f>
        <v/>
      </c>
    </row>
    <row r="86" ht="36.75" customHeight="1">
      <c r="A86" s="16" t="s">
        <v>4569</v>
      </c>
      <c r="B86" s="16" t="str">
        <f>IMAGE("https://lmztiles.s3.eu-west-1.amazonaws.com/Modern_Interiors_v41.3.4/1_Interiors/16x16/Theme_Sorter_Singles/20_Japanese_Interiors_Singles/Japanese_Interiors_Singles_86.png")</f>
        <v/>
      </c>
    </row>
    <row r="87" ht="36.75" customHeight="1">
      <c r="A87" s="16" t="s">
        <v>4570</v>
      </c>
      <c r="B87" s="16" t="str">
        <f>IMAGE("https://lmztiles.s3.eu-west-1.amazonaws.com/Modern_Interiors_v41.3.4/1_Interiors/16x16/Theme_Sorter_Singles/20_Japanese_Interiors_Singles/Japanese_Interiors_Singles_87.png")</f>
        <v/>
      </c>
    </row>
    <row r="88" ht="36.75" customHeight="1">
      <c r="A88" s="16" t="s">
        <v>4571</v>
      </c>
      <c r="B88" s="16" t="str">
        <f>IMAGE("https://lmztiles.s3.eu-west-1.amazonaws.com/Modern_Interiors_v41.3.4/1_Interiors/16x16/Theme_Sorter_Singles/20_Japanese_Interiors_Singles/Japanese_Interiors_Singles_88.png")</f>
        <v/>
      </c>
    </row>
    <row r="89" ht="36.75" customHeight="1">
      <c r="A89" s="16" t="s">
        <v>4572</v>
      </c>
      <c r="B89" s="16" t="str">
        <f>IMAGE("https://lmztiles.s3.eu-west-1.amazonaws.com/Modern_Interiors_v41.3.4/1_Interiors/16x16/Theme_Sorter_Singles/20_Japanese_Interiors_Singles/Japanese_Interiors_Singles_89.png")</f>
        <v/>
      </c>
    </row>
    <row r="90" ht="36.75" customHeight="1">
      <c r="A90" s="16" t="s">
        <v>4573</v>
      </c>
      <c r="B90" s="16" t="str">
        <f>IMAGE("https://lmztiles.s3.eu-west-1.amazonaws.com/Modern_Interiors_v41.3.4/1_Interiors/16x16/Theme_Sorter_Singles/20_Japanese_Interiors_Singles/Japanese_Interiors_Singles_90.png")</f>
        <v/>
      </c>
    </row>
    <row r="91" ht="36.75" customHeight="1">
      <c r="A91" s="16" t="s">
        <v>4574</v>
      </c>
      <c r="B91" s="16" t="str">
        <f>IMAGE("https://lmztiles.s3.eu-west-1.amazonaws.com/Modern_Interiors_v41.3.4/1_Interiors/16x16/Theme_Sorter_Singles/20_Japanese_Interiors_Singles/Japanese_Interiors_Singles_91.png")</f>
        <v/>
      </c>
    </row>
    <row r="92" ht="36.75" customHeight="1">
      <c r="A92" s="16" t="s">
        <v>4575</v>
      </c>
      <c r="B92" s="16" t="str">
        <f>IMAGE("https://lmztiles.s3.eu-west-1.amazonaws.com/Modern_Interiors_v41.3.4/1_Interiors/16x16/Theme_Sorter_Singles/20_Japanese_Interiors_Singles/Japanese_Interiors_Singles_92.png")</f>
        <v/>
      </c>
    </row>
    <row r="93" ht="36.75" customHeight="1">
      <c r="A93" s="16" t="s">
        <v>4576</v>
      </c>
      <c r="B93" s="16" t="str">
        <f>IMAGE("https://lmztiles.s3.eu-west-1.amazonaws.com/Modern_Interiors_v41.3.4/1_Interiors/16x16/Theme_Sorter_Singles/20_Japanese_Interiors_Singles/Japanese_Interiors_Singles_93.png")</f>
        <v/>
      </c>
    </row>
    <row r="94" ht="36.75" customHeight="1">
      <c r="A94" s="16" t="s">
        <v>4577</v>
      </c>
      <c r="B94" s="16" t="str">
        <f>IMAGE("https://lmztiles.s3.eu-west-1.amazonaws.com/Modern_Interiors_v41.3.4/1_Interiors/16x16/Theme_Sorter_Singles/20_Japanese_Interiors_Singles/Japanese_Interiors_Singles_94.png")</f>
        <v/>
      </c>
    </row>
    <row r="95" ht="36.75" customHeight="1">
      <c r="A95" s="16" t="s">
        <v>4578</v>
      </c>
      <c r="B95" s="16" t="str">
        <f>IMAGE("https://lmztiles.s3.eu-west-1.amazonaws.com/Modern_Interiors_v41.3.4/1_Interiors/16x16/Theme_Sorter_Singles/20_Japanese_Interiors_Singles/Japanese_Interiors_Singles_95.png")</f>
        <v/>
      </c>
    </row>
    <row r="96" ht="36.75" customHeight="1">
      <c r="A96" s="16" t="s">
        <v>4579</v>
      </c>
      <c r="B96" s="16" t="str">
        <f>IMAGE("https://lmztiles.s3.eu-west-1.amazonaws.com/Modern_Interiors_v41.3.4/1_Interiors/16x16/Theme_Sorter_Singles/20_Japanese_Interiors_Singles/Japanese_Interiors_Singles_96.png")</f>
        <v/>
      </c>
    </row>
    <row r="97" ht="36.75" customHeight="1">
      <c r="A97" s="16" t="s">
        <v>4580</v>
      </c>
      <c r="B97" s="16" t="str">
        <f>IMAGE("https://lmztiles.s3.eu-west-1.amazonaws.com/Modern_Interiors_v41.3.4/1_Interiors/16x16/Theme_Sorter_Singles/20_Japanese_Interiors_Singles/Japanese_Interiors_Singles_97.png")</f>
        <v/>
      </c>
    </row>
    <row r="98" ht="36.75" customHeight="1">
      <c r="A98" s="16" t="s">
        <v>4581</v>
      </c>
      <c r="B98" s="16" t="str">
        <f>IMAGE("https://lmztiles.s3.eu-west-1.amazonaws.com/Modern_Interiors_v41.3.4/1_Interiors/16x16/Theme_Sorter_Singles/20_Japanese_Interiors_Singles/Japanese_Interiors_Singles_98.png")</f>
        <v/>
      </c>
    </row>
    <row r="99" ht="36.75" customHeight="1">
      <c r="A99" s="16" t="s">
        <v>4582</v>
      </c>
      <c r="B99" s="16" t="str">
        <f>IMAGE("https://lmztiles.s3.eu-west-1.amazonaws.com/Modern_Interiors_v41.3.4/1_Interiors/16x16/Theme_Sorter_Singles/20_Japanese_Interiors_Singles/Japanese_Interiors_Singles_99.png")</f>
        <v/>
      </c>
    </row>
    <row r="100" ht="36.75" customHeight="1">
      <c r="A100" s="16" t="s">
        <v>4583</v>
      </c>
      <c r="B100" s="16" t="str">
        <f>IMAGE("https://lmztiles.s3.eu-west-1.amazonaws.com/Modern_Interiors_v41.3.4/1_Interiors/16x16/Theme_Sorter_Singles/20_Japanese_Interiors_Singles/Japanese_Interiors_Singles_100.png")</f>
        <v/>
      </c>
    </row>
    <row r="101" ht="36.75" customHeight="1">
      <c r="A101" s="16" t="s">
        <v>4584</v>
      </c>
      <c r="B101" s="16" t="str">
        <f>IMAGE("https://lmztiles.s3.eu-west-1.amazonaws.com/Modern_Interiors_v41.3.4/1_Interiors/16x16/Theme_Sorter_Singles/20_Japanese_Interiors_Singles/Japanese_Interiors_Singles_101.png")</f>
        <v/>
      </c>
    </row>
    <row r="102" ht="36.75" customHeight="1">
      <c r="A102" s="16" t="s">
        <v>4585</v>
      </c>
      <c r="B102" s="16" t="str">
        <f>IMAGE("https://lmztiles.s3.eu-west-1.amazonaws.com/Modern_Interiors_v41.3.4/1_Interiors/16x16/Theme_Sorter_Singles/20_Japanese_Interiors_Singles/Japanese_Interiors_Singles_102.png")</f>
        <v/>
      </c>
    </row>
    <row r="103" ht="36.75" customHeight="1">
      <c r="A103" s="16" t="s">
        <v>4586</v>
      </c>
      <c r="B103" s="16" t="str">
        <f>IMAGE("https://lmztiles.s3.eu-west-1.amazonaws.com/Modern_Interiors_v41.3.4/1_Interiors/16x16/Theme_Sorter_Singles/20_Japanese_Interiors_Singles/Japanese_Interiors_Singles_103.png")</f>
        <v/>
      </c>
    </row>
    <row r="104" ht="36.75" customHeight="1">
      <c r="A104" s="16" t="s">
        <v>4587</v>
      </c>
      <c r="B104" s="16" t="str">
        <f>IMAGE("https://lmztiles.s3.eu-west-1.amazonaws.com/Modern_Interiors_v41.3.4/1_Interiors/16x16/Theme_Sorter_Singles/20_Japanese_Interiors_Singles/Japanese_Interiors_Singles_104.png")</f>
        <v/>
      </c>
    </row>
    <row r="105" ht="36.75" customHeight="1">
      <c r="A105" s="16" t="s">
        <v>4588</v>
      </c>
      <c r="B105" s="16" t="str">
        <f>IMAGE("https://lmztiles.s3.eu-west-1.amazonaws.com/Modern_Interiors_v41.3.4/1_Interiors/16x16/Theme_Sorter_Singles/20_Japanese_Interiors_Singles/Japanese_Interiors_Singles_105.png")</f>
        <v/>
      </c>
    </row>
    <row r="106" ht="36.75" customHeight="1">
      <c r="A106" s="16" t="s">
        <v>4589</v>
      </c>
      <c r="B106" s="16" t="str">
        <f>IMAGE("https://lmztiles.s3.eu-west-1.amazonaws.com/Modern_Interiors_v41.3.4/1_Interiors/16x16/Theme_Sorter_Singles/20_Japanese_Interiors_Singles/Japanese_Interiors_Singles_106.png")</f>
        <v/>
      </c>
    </row>
    <row r="107" ht="36.75" customHeight="1">
      <c r="A107" s="16" t="s">
        <v>4590</v>
      </c>
      <c r="B107" s="16" t="str">
        <f>IMAGE("https://lmztiles.s3.eu-west-1.amazonaws.com/Modern_Interiors_v41.3.4/1_Interiors/16x16/Theme_Sorter_Singles/20_Japanese_Interiors_Singles/Japanese_Interiors_Singles_107.png")</f>
        <v/>
      </c>
    </row>
    <row r="108" ht="36.75" customHeight="1">
      <c r="A108" s="16" t="s">
        <v>4591</v>
      </c>
      <c r="B108" s="16" t="str">
        <f>IMAGE("https://lmztiles.s3.eu-west-1.amazonaws.com/Modern_Interiors_v41.3.4/1_Interiors/16x16/Theme_Sorter_Singles/20_Japanese_Interiors_Singles/Japanese_Interiors_Singles_108.png")</f>
        <v/>
      </c>
    </row>
    <row r="109" ht="36.75" customHeight="1">
      <c r="A109" s="16" t="s">
        <v>4592</v>
      </c>
      <c r="B109" s="16" t="str">
        <f>IMAGE("https://lmztiles.s3.eu-west-1.amazonaws.com/Modern_Interiors_v41.3.4/1_Interiors/16x16/Theme_Sorter_Singles/20_Japanese_Interiors_Singles/Japanese_Interiors_Singles_109.png")</f>
        <v/>
      </c>
    </row>
    <row r="110" ht="36.75" customHeight="1">
      <c r="A110" s="16" t="s">
        <v>4593</v>
      </c>
      <c r="B110" s="16" t="str">
        <f>IMAGE("https://lmztiles.s3.eu-west-1.amazonaws.com/Modern_Interiors_v41.3.4/1_Interiors/16x16/Theme_Sorter_Singles/20_Japanese_Interiors_Singles/Japanese_Interiors_Singles_110.png")</f>
        <v/>
      </c>
    </row>
    <row r="111" ht="36.75" customHeight="1">
      <c r="A111" s="16" t="s">
        <v>4594</v>
      </c>
      <c r="B111" s="16" t="str">
        <f>IMAGE("https://lmztiles.s3.eu-west-1.amazonaws.com/Modern_Interiors_v41.3.4/1_Interiors/16x16/Theme_Sorter_Singles/20_Japanese_Interiors_Singles/Japanese_Interiors_Singles_111.png")</f>
        <v/>
      </c>
    </row>
    <row r="112" ht="36.75" customHeight="1">
      <c r="A112" s="16" t="s">
        <v>4595</v>
      </c>
      <c r="B112" s="16" t="str">
        <f>IMAGE("https://lmztiles.s3.eu-west-1.amazonaws.com/Modern_Interiors_v41.3.4/1_Interiors/16x16/Theme_Sorter_Singles/20_Japanese_Interiors_Singles/Japanese_Interiors_Singles_112.png")</f>
        <v/>
      </c>
    </row>
    <row r="113" ht="36.75" customHeight="1">
      <c r="A113" s="16" t="s">
        <v>4596</v>
      </c>
      <c r="B113" s="16" t="str">
        <f>IMAGE("https://lmztiles.s3.eu-west-1.amazonaws.com/Modern_Interiors_v41.3.4/1_Interiors/16x16/Theme_Sorter_Singles/20_Japanese_Interiors_Singles/Japanese_Interiors_Singles_113.png")</f>
        <v/>
      </c>
    </row>
    <row r="114" ht="36.75" customHeight="1">
      <c r="A114" s="16" t="s">
        <v>4597</v>
      </c>
      <c r="B114" s="16" t="str">
        <f>IMAGE("https://lmztiles.s3.eu-west-1.amazonaws.com/Modern_Interiors_v41.3.4/1_Interiors/16x16/Theme_Sorter_Singles/20_Japanese_Interiors_Singles/Japanese_Interiors_Singles_114.png")</f>
        <v/>
      </c>
    </row>
    <row r="115" ht="36.75" customHeight="1">
      <c r="A115" s="16" t="s">
        <v>4598</v>
      </c>
      <c r="B115" s="16" t="str">
        <f>IMAGE("https://lmztiles.s3.eu-west-1.amazonaws.com/Modern_Interiors_v41.3.4/1_Interiors/16x16/Theme_Sorter_Singles/20_Japanese_Interiors_Singles/Japanese_Interiors_Singles_115.png")</f>
        <v/>
      </c>
    </row>
    <row r="116" ht="36.75" customHeight="1">
      <c r="A116" s="16" t="s">
        <v>4599</v>
      </c>
      <c r="B116" s="16" t="str">
        <f>IMAGE("https://lmztiles.s3.eu-west-1.amazonaws.com/Modern_Interiors_v41.3.4/1_Interiors/16x16/Theme_Sorter_Singles/20_Japanese_Interiors_Singles/Japanese_Interiors_Singles_116.png")</f>
        <v/>
      </c>
    </row>
    <row r="117" ht="36.75" customHeight="1">
      <c r="A117" s="16" t="s">
        <v>4600</v>
      </c>
      <c r="B117" s="16" t="str">
        <f>IMAGE("https://lmztiles.s3.eu-west-1.amazonaws.com/Modern_Interiors_v41.3.4/1_Interiors/16x16/Theme_Sorter_Singles/20_Japanese_Interiors_Singles/Japanese_Interiors_Singles_117.png")</f>
        <v/>
      </c>
    </row>
    <row r="118" ht="36.75" customHeight="1">
      <c r="A118" s="16" t="s">
        <v>4601</v>
      </c>
      <c r="B118" s="16" t="str">
        <f>IMAGE("https://lmztiles.s3.eu-west-1.amazonaws.com/Modern_Interiors_v41.3.4/1_Interiors/16x16/Theme_Sorter_Singles/20_Japanese_Interiors_Singles/Japanese_Interiors_Singles_118.png")</f>
        <v/>
      </c>
    </row>
    <row r="119" ht="36.75" customHeight="1">
      <c r="A119" s="16" t="s">
        <v>4602</v>
      </c>
      <c r="B119" s="16" t="str">
        <f>IMAGE("https://lmztiles.s3.eu-west-1.amazonaws.com/Modern_Interiors_v41.3.4/1_Interiors/16x16/Theme_Sorter_Singles/20_Japanese_Interiors_Singles/Japanese_Interiors_Singles_119.png")</f>
        <v/>
      </c>
    </row>
    <row r="120" ht="36.75" customHeight="1">
      <c r="A120" s="16" t="s">
        <v>4603</v>
      </c>
      <c r="B120" s="16" t="str">
        <f>IMAGE("https://lmztiles.s3.eu-west-1.amazonaws.com/Modern_Interiors_v41.3.4/1_Interiors/16x16/Theme_Sorter_Singles/20_Japanese_Interiors_Singles/Japanese_Interiors_Singles_120.png")</f>
        <v/>
      </c>
    </row>
    <row r="121" ht="36.75" customHeight="1">
      <c r="A121" s="16" t="s">
        <v>4604</v>
      </c>
      <c r="B121" s="16" t="str">
        <f>IMAGE("https://lmztiles.s3.eu-west-1.amazonaws.com/Modern_Interiors_v41.3.4/1_Interiors/16x16/Theme_Sorter_Singles/20_Japanese_Interiors_Singles/Japanese_Interiors_Singles_121.png")</f>
        <v/>
      </c>
    </row>
    <row r="122" ht="36.75" customHeight="1">
      <c r="A122" s="16" t="s">
        <v>4605</v>
      </c>
      <c r="B122" s="16" t="str">
        <f>IMAGE("https://lmztiles.s3.eu-west-1.amazonaws.com/Modern_Interiors_v41.3.4/1_Interiors/16x16/Theme_Sorter_Singles/20_Japanese_Interiors_Singles/Japanese_Interiors_Singles_122.png")</f>
        <v/>
      </c>
    </row>
    <row r="123" ht="36.75" customHeight="1">
      <c r="A123" s="16" t="s">
        <v>4606</v>
      </c>
      <c r="B123" s="16" t="str">
        <f>IMAGE("https://lmztiles.s3.eu-west-1.amazonaws.com/Modern_Interiors_v41.3.4/1_Interiors/16x16/Theme_Sorter_Singles/20_Japanese_Interiors_Singles/Japanese_Interiors_Singles_123.png")</f>
        <v/>
      </c>
    </row>
    <row r="124" ht="36.75" customHeight="1">
      <c r="A124" s="16" t="s">
        <v>4607</v>
      </c>
      <c r="B124" s="16" t="str">
        <f>IMAGE("https://lmztiles.s3.eu-west-1.amazonaws.com/Modern_Interiors_v41.3.4/1_Interiors/16x16/Theme_Sorter_Singles/20_Japanese_Interiors_Singles/Japanese_Interiors_Singles_124.png")</f>
        <v/>
      </c>
    </row>
    <row r="125" ht="36.75" customHeight="1">
      <c r="A125" s="16" t="s">
        <v>4608</v>
      </c>
      <c r="B125" s="16" t="str">
        <f>IMAGE("https://lmztiles.s3.eu-west-1.amazonaws.com/Modern_Interiors_v41.3.4/1_Interiors/16x16/Theme_Sorter_Singles/20_Japanese_Interiors_Singles/Japanese_Interiors_Singles_125.png")</f>
        <v/>
      </c>
    </row>
    <row r="126" ht="36.75" customHeight="1">
      <c r="A126" s="16" t="s">
        <v>4609</v>
      </c>
      <c r="B126" s="16" t="str">
        <f>IMAGE("https://lmztiles.s3.eu-west-1.amazonaws.com/Modern_Interiors_v41.3.4/1_Interiors/16x16/Theme_Sorter_Singles/20_Japanese_Interiors_Singles/Japanese_Interiors_Singles_126.png")</f>
        <v/>
      </c>
    </row>
    <row r="127" ht="36.75" customHeight="1">
      <c r="A127" s="16" t="s">
        <v>4610</v>
      </c>
      <c r="B127" s="16" t="str">
        <f>IMAGE("https://lmztiles.s3.eu-west-1.amazonaws.com/Modern_Interiors_v41.3.4/1_Interiors/16x16/Theme_Sorter_Singles/20_Japanese_Interiors_Singles/Japanese_Interiors_Singles_127.png")</f>
        <v/>
      </c>
    </row>
    <row r="128" ht="36.75" customHeight="1">
      <c r="A128" s="16" t="s">
        <v>4611</v>
      </c>
      <c r="B128" s="16" t="str">
        <f>IMAGE("https://lmztiles.s3.eu-west-1.amazonaws.com/Modern_Interiors_v41.3.4/1_Interiors/16x16/Theme_Sorter_Singles/20_Japanese_Interiors_Singles/Japanese_Interiors_Singles_128.png")</f>
        <v/>
      </c>
    </row>
    <row r="129" ht="36.75" customHeight="1">
      <c r="A129" s="16" t="s">
        <v>4612</v>
      </c>
      <c r="B129" s="16" t="str">
        <f>IMAGE("https://lmztiles.s3.eu-west-1.amazonaws.com/Modern_Interiors_v41.3.4/1_Interiors/16x16/Theme_Sorter_Singles/20_Japanese_Interiors_Singles/Japanese_Interiors_Singles_129.png")</f>
        <v/>
      </c>
    </row>
    <row r="130" ht="36.75" customHeight="1">
      <c r="A130" s="16" t="s">
        <v>4613</v>
      </c>
      <c r="B130" s="16" t="str">
        <f>IMAGE("https://lmztiles.s3.eu-west-1.amazonaws.com/Modern_Interiors_v41.3.4/1_Interiors/16x16/Theme_Sorter_Singles/20_Japanese_Interiors_Singles/Japanese_Interiors_Singles_130.png")</f>
        <v/>
      </c>
    </row>
    <row r="131" ht="36.75" customHeight="1">
      <c r="A131" s="16" t="s">
        <v>4614</v>
      </c>
      <c r="B131" s="16" t="str">
        <f>IMAGE("https://lmztiles.s3.eu-west-1.amazonaws.com/Modern_Interiors_v41.3.4/1_Interiors/16x16/Theme_Sorter_Singles/20_Japanese_Interiors_Singles/Japanese_Interiors_Singles_131.png")</f>
        <v/>
      </c>
    </row>
    <row r="132" ht="36.75" customHeight="1">
      <c r="A132" s="16" t="s">
        <v>4615</v>
      </c>
      <c r="B132" s="16" t="str">
        <f>IMAGE("https://lmztiles.s3.eu-west-1.amazonaws.com/Modern_Interiors_v41.3.4/1_Interiors/16x16/Theme_Sorter_Singles/20_Japanese_Interiors_Singles/Japanese_Interiors_Singles_132.png")</f>
        <v/>
      </c>
    </row>
    <row r="133" ht="36.75" customHeight="1">
      <c r="A133" s="16" t="s">
        <v>4616</v>
      </c>
      <c r="B133" s="16" t="str">
        <f>IMAGE("https://lmztiles.s3.eu-west-1.amazonaws.com/Modern_Interiors_v41.3.4/1_Interiors/16x16/Theme_Sorter_Singles/20_Japanese_Interiors_Singles/Japanese_Interiors_Singles_133.png")</f>
        <v/>
      </c>
    </row>
    <row r="134" ht="36.75" customHeight="1"/>
    <row r="135" ht="36.75" customHeight="1"/>
    <row r="136" ht="36.75" customHeight="1"/>
    <row r="137" ht="36.75" customHeight="1"/>
    <row r="138" ht="36.75" customHeight="1"/>
    <row r="139" ht="36.75" customHeight="1"/>
    <row r="140" ht="36.75" customHeight="1"/>
    <row r="141" ht="36.75" customHeight="1"/>
    <row r="142" ht="36.75" customHeight="1"/>
    <row r="143" ht="36.75" customHeight="1"/>
    <row r="144" ht="36.75" customHeight="1"/>
    <row r="145" ht="36.75" customHeight="1"/>
    <row r="146" ht="36.75" customHeight="1"/>
    <row r="147" ht="36.75" customHeight="1"/>
    <row r="148" ht="36.75" customHeight="1"/>
    <row r="149" ht="36.75" customHeight="1"/>
    <row r="150" ht="36.75" customHeight="1"/>
    <row r="151" ht="36.75" customHeight="1"/>
    <row r="152" ht="36.75" customHeight="1"/>
    <row r="153" ht="36.75" customHeight="1"/>
    <row r="154" ht="36.75" customHeight="1"/>
    <row r="155" ht="36.75" customHeight="1"/>
    <row r="156" ht="36.75" customHeight="1"/>
    <row r="157" ht="36.75" customHeight="1"/>
    <row r="158" ht="36.75" customHeight="1"/>
    <row r="159" ht="36.75" customHeight="1"/>
    <row r="160" ht="36.75" customHeight="1"/>
    <row r="161" ht="36.75" customHeight="1"/>
    <row r="162" ht="36.75" customHeight="1"/>
    <row r="163" ht="36.75" customHeight="1"/>
    <row r="164" ht="36.75" customHeight="1"/>
    <row r="165" ht="36.75" customHeight="1"/>
    <row r="166" ht="36.75" customHeight="1"/>
    <row r="167" ht="36.75" customHeight="1"/>
    <row r="168" ht="36.75" customHeight="1"/>
    <row r="169" ht="36.75" customHeight="1"/>
    <row r="170" ht="36.75" customHeight="1"/>
    <row r="171" ht="36.75" customHeight="1"/>
    <row r="172" ht="36.75" customHeight="1"/>
    <row r="173" ht="36.75" customHeight="1"/>
    <row r="174" ht="36.75" customHeight="1"/>
    <row r="175" ht="36.75" customHeight="1"/>
    <row r="176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  <row r="866" ht="36.75" customHeight="1"/>
    <row r="867" ht="36.75" customHeight="1"/>
    <row r="868" ht="36.75" customHeight="1"/>
    <row r="869" ht="36.75" customHeight="1"/>
    <row r="870" ht="36.75" customHeight="1"/>
    <row r="871" ht="36.75" customHeight="1"/>
    <row r="872" ht="36.75" customHeight="1"/>
    <row r="873" ht="36.75" customHeight="1"/>
    <row r="874" ht="36.75" customHeight="1"/>
    <row r="875" ht="36.75" customHeight="1"/>
    <row r="876" ht="36.75" customHeight="1"/>
    <row r="877" ht="36.75" customHeight="1"/>
    <row r="878" ht="36.75" customHeight="1"/>
    <row r="879" ht="36.75" customHeight="1"/>
    <row r="880" ht="36.75" customHeight="1"/>
    <row r="881" ht="36.75" customHeight="1"/>
    <row r="882" ht="36.75" customHeight="1"/>
    <row r="883" ht="36.75" customHeight="1"/>
    <row r="884" ht="36.75" customHeight="1"/>
    <row r="885" ht="36.75" customHeight="1"/>
    <row r="886" ht="36.75" customHeight="1"/>
    <row r="887" ht="36.75" customHeight="1"/>
    <row r="888" ht="36.75" customHeight="1"/>
    <row r="889" ht="36.75" customHeight="1"/>
    <row r="890" ht="36.75" customHeight="1"/>
    <row r="891" ht="36.75" customHeight="1"/>
    <row r="892" ht="36.75" customHeight="1"/>
    <row r="893" ht="36.75" customHeight="1"/>
    <row r="894" ht="36.75" customHeight="1"/>
    <row r="895" ht="36.75" customHeight="1"/>
    <row r="896" ht="36.75" customHeight="1"/>
    <row r="897" ht="36.75" customHeight="1"/>
    <row r="898" ht="36.75" customHeight="1"/>
    <row r="899" ht="36.75" customHeight="1"/>
    <row r="900" ht="36.75" customHeight="1"/>
    <row r="901" ht="36.75" customHeight="1"/>
    <row r="902" ht="36.75" customHeight="1"/>
    <row r="903" ht="36.75" customHeight="1"/>
    <row r="904" ht="36.75" customHeight="1"/>
    <row r="905" ht="36.75" customHeight="1"/>
    <row r="906" ht="36.75" customHeight="1"/>
    <row r="907" ht="36.75" customHeight="1"/>
    <row r="908" ht="36.75" customHeight="1"/>
    <row r="909" ht="36.75" customHeight="1"/>
    <row r="910" ht="36.75" customHeight="1"/>
    <row r="911" ht="36.75" customHeight="1"/>
    <row r="912" ht="36.75" customHeight="1"/>
    <row r="913" ht="36.75" customHeight="1"/>
    <row r="914" ht="36.75" customHeight="1"/>
    <row r="915" ht="36.75" customHeight="1"/>
    <row r="916" ht="36.75" customHeight="1"/>
    <row r="917" ht="36.75" customHeight="1"/>
    <row r="918" ht="36.75" customHeight="1"/>
    <row r="919" ht="36.75" customHeight="1"/>
    <row r="920" ht="36.75" customHeight="1"/>
    <row r="921" ht="36.75" customHeight="1"/>
    <row r="922" ht="36.75" customHeight="1"/>
    <row r="923" ht="36.75" customHeight="1"/>
    <row r="924" ht="36.75" customHeight="1"/>
    <row r="925" ht="36.75" customHeight="1"/>
    <row r="926" ht="36.75" customHeight="1"/>
    <row r="927" ht="36.75" customHeight="1"/>
    <row r="928" ht="36.75" customHeight="1"/>
    <row r="929" ht="36.75" customHeight="1"/>
    <row r="930" ht="36.75" customHeight="1"/>
    <row r="931" ht="36.75" customHeight="1"/>
    <row r="932" ht="36.75" customHeight="1"/>
    <row r="933" ht="36.75" customHeight="1"/>
    <row r="934" ht="36.75" customHeight="1"/>
    <row r="935" ht="36.75" customHeight="1"/>
    <row r="936" ht="36.75" customHeight="1"/>
    <row r="937" ht="36.75" customHeight="1"/>
    <row r="938" ht="36.75" customHeight="1"/>
    <row r="939" ht="36.75" customHeight="1"/>
    <row r="940" ht="36.75" customHeight="1"/>
    <row r="941" ht="36.75" customHeight="1"/>
    <row r="942" ht="36.75" customHeight="1"/>
    <row r="943" ht="36.75" customHeight="1"/>
    <row r="944" ht="36.75" customHeight="1"/>
    <row r="945" ht="36.75" customHeight="1"/>
    <row r="946" ht="36.75" customHeight="1"/>
    <row r="947" ht="36.75" customHeight="1"/>
    <row r="948" ht="36.75" customHeight="1"/>
    <row r="949" ht="36.75" customHeight="1"/>
    <row r="950" ht="36.75" customHeight="1"/>
    <row r="951" ht="36.75" customHeight="1"/>
    <row r="952" ht="36.75" customHeight="1"/>
    <row r="953" ht="36.75" customHeight="1"/>
    <row r="954" ht="36.75" customHeight="1"/>
    <row r="955" ht="36.75" customHeight="1"/>
    <row r="956" ht="36.75" customHeight="1"/>
    <row r="957" ht="36.75" customHeight="1"/>
    <row r="958" ht="36.75" customHeight="1"/>
    <row r="959" ht="36.75" customHeight="1"/>
    <row r="960" ht="36.75" customHeight="1"/>
    <row r="961" ht="36.75" customHeight="1"/>
    <row r="962" ht="36.75" customHeight="1"/>
    <row r="963" ht="36.75" customHeight="1"/>
    <row r="964" ht="36.75" customHeight="1"/>
    <row r="965" ht="36.75" customHeight="1"/>
    <row r="966" ht="36.75" customHeight="1"/>
    <row r="967" ht="36.75" customHeight="1"/>
    <row r="968" ht="36.75" customHeight="1"/>
    <row r="969" ht="36.75" customHeight="1"/>
    <row r="970" ht="36.75" customHeight="1"/>
    <row r="971" ht="36.75" customHeight="1"/>
    <row r="972" ht="36.75" customHeight="1"/>
    <row r="973" ht="36.75" customHeight="1"/>
    <row r="974" ht="36.75" customHeight="1"/>
    <row r="975" ht="36.75" customHeight="1"/>
    <row r="976" ht="36.75" customHeight="1"/>
    <row r="977" ht="36.75" customHeight="1"/>
    <row r="978" ht="36.75" customHeight="1"/>
    <row r="979" ht="36.75" customHeight="1"/>
    <row r="980" ht="36.75" customHeight="1"/>
    <row r="981" ht="36.75" customHeight="1"/>
    <row r="982" ht="36.75" customHeight="1"/>
    <row r="983" ht="36.75" customHeight="1"/>
    <row r="984" ht="36.75" customHeight="1"/>
    <row r="985" ht="36.75" customHeight="1"/>
    <row r="986" ht="36.75" customHeight="1"/>
    <row r="987" ht="36.75" customHeight="1"/>
    <row r="988" ht="36.75" customHeight="1"/>
    <row r="989" ht="36.75" customHeight="1"/>
    <row r="990" ht="36.75" customHeight="1"/>
    <row r="991" ht="36.75" customHeight="1"/>
    <row r="992" ht="36.75" customHeight="1"/>
    <row r="993" ht="36.75" customHeight="1"/>
    <row r="994" ht="36.75" customHeight="1"/>
    <row r="995" ht="36.75" customHeight="1"/>
    <row r="996" ht="36.75" customHeight="1"/>
    <row r="997" ht="36.75" customHeight="1"/>
    <row r="998" ht="36.75" customHeight="1"/>
    <row r="999" ht="36.75" customHeight="1"/>
    <row r="1000" ht="36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8.71"/>
    <col customWidth="1" min="3" max="3" width="84.86"/>
  </cols>
  <sheetData>
    <row r="1" ht="36.75" customHeight="1">
      <c r="A1" s="14" t="s">
        <v>27</v>
      </c>
      <c r="B1" s="14" t="str">
        <f>IMAGE("https://lmztiles.s3.eu-west-1.amazonaws.com/Modern_Interiors_v41.3.4/1_Interiors/16x16/Theme_Sorter_Singles/2_Living_Room_Singles/Living_Room_Singles_1.png")</f>
        <v/>
      </c>
      <c r="C1" s="14" t="s">
        <v>28</v>
      </c>
    </row>
    <row r="2" ht="36.75" customHeight="1">
      <c r="A2" s="14" t="s">
        <v>29</v>
      </c>
      <c r="B2" s="14" t="str">
        <f>IMAGE("https://lmztiles.s3.eu-west-1.amazonaws.com/Modern_Interiors_v41.3.4/1_Interiors/16x16/Theme_Sorter_Singles/2_Living_Room_Singles/Living_Room_Singles_2.png")</f>
        <v/>
      </c>
      <c r="C2" s="14" t="s">
        <v>30</v>
      </c>
    </row>
    <row r="3" ht="36.75" customHeight="1">
      <c r="A3" s="14" t="s">
        <v>31</v>
      </c>
      <c r="B3" s="14" t="str">
        <f>IMAGE("https://lmztiles.s3.eu-west-1.amazonaws.com/Modern_Interiors_v41.3.4/1_Interiors/16x16/Theme_Sorter_Singles/2_Living_Room_Singles/Living_Room_Singles_3.png")</f>
        <v/>
      </c>
      <c r="C3" s="14" t="s">
        <v>32</v>
      </c>
    </row>
    <row r="4" ht="36.75" customHeight="1">
      <c r="A4" s="14" t="s">
        <v>33</v>
      </c>
      <c r="B4" s="14" t="str">
        <f>IMAGE("https://lmztiles.s3.eu-west-1.amazonaws.com/Modern_Interiors_v41.3.4/1_Interiors/16x16/Theme_Sorter_Singles/2_Living_Room_Singles/Living_Room_Singles_4.png")</f>
        <v/>
      </c>
      <c r="C4" s="14" t="s">
        <v>34</v>
      </c>
    </row>
    <row r="5" ht="36.75" customHeight="1">
      <c r="A5" s="14" t="s">
        <v>35</v>
      </c>
      <c r="B5" s="14" t="str">
        <f>IMAGE("https://lmztiles.s3.eu-west-1.amazonaws.com/Modern_Interiors_v41.3.4/1_Interiors/16x16/Theme_Sorter_Singles/2_Living_Room_Singles/Living_Room_Singles_5.png")</f>
        <v/>
      </c>
      <c r="C5" s="14" t="s">
        <v>36</v>
      </c>
    </row>
    <row r="6" ht="36.75" customHeight="1">
      <c r="A6" s="14" t="s">
        <v>37</v>
      </c>
      <c r="B6" s="14" t="str">
        <f>IMAGE("https://lmztiles.s3.eu-west-1.amazonaws.com/Modern_Interiors_v41.3.4/1_Interiors/16x16/Theme_Sorter_Singles/2_Living_Room_Singles/Living_Room_Singles_6.png")</f>
        <v/>
      </c>
      <c r="C6" s="14" t="s">
        <v>38</v>
      </c>
    </row>
    <row r="7" ht="36.75" customHeight="1">
      <c r="A7" s="14" t="s">
        <v>39</v>
      </c>
      <c r="B7" s="14" t="str">
        <f>IMAGE("https://lmztiles.s3.eu-west-1.amazonaws.com/Modern_Interiors_v41.3.4/1_Interiors/16x16/Theme_Sorter_Singles/2_Living_Room_Singles/Living_Room_Singles_7.png")</f>
        <v/>
      </c>
      <c r="C7" s="15" t="s">
        <v>40</v>
      </c>
    </row>
    <row r="8" ht="36.75" customHeight="1">
      <c r="A8" s="14" t="s">
        <v>41</v>
      </c>
      <c r="B8" s="14" t="str">
        <f>IMAGE("https://lmztiles.s3.eu-west-1.amazonaws.com/Modern_Interiors_v41.3.4/1_Interiors/16x16/Theme_Sorter_Singles/2_Living_Room_Singles/Living_Room_Singles_8.png")</f>
        <v/>
      </c>
      <c r="C8" s="15" t="s">
        <v>42</v>
      </c>
    </row>
    <row r="9" ht="36.75" customHeight="1">
      <c r="A9" s="14" t="s">
        <v>43</v>
      </c>
      <c r="B9" s="14" t="str">
        <f>IMAGE("https://lmztiles.s3.eu-west-1.amazonaws.com/Modern_Interiors_v41.3.4/1_Interiors/16x16/Theme_Sorter_Singles/2_Living_Room_Singles/Living_Room_Singles_9.png")</f>
        <v/>
      </c>
      <c r="C9" s="15" t="s">
        <v>44</v>
      </c>
    </row>
    <row r="10" ht="36.75" customHeight="1">
      <c r="A10" s="14" t="s">
        <v>45</v>
      </c>
      <c r="B10" s="14" t="str">
        <f>IMAGE("https://lmztiles.s3.eu-west-1.amazonaws.com/Modern_Interiors_v41.3.4/1_Interiors/16x16/Theme_Sorter_Singles/2_Living_Room_Singles/Living_Room_Singles_10.png")</f>
        <v/>
      </c>
      <c r="C10" s="15" t="s">
        <v>46</v>
      </c>
    </row>
    <row r="11" ht="36.75" customHeight="1">
      <c r="A11" s="14" t="s">
        <v>47</v>
      </c>
      <c r="B11" s="14" t="str">
        <f>IMAGE("https://lmztiles.s3.eu-west-1.amazonaws.com/Modern_Interiors_v41.3.4/1_Interiors/16x16/Theme_Sorter_Singles/2_Living_Room_Singles/Living_Room_Singles_11.png")</f>
        <v/>
      </c>
      <c r="C11" s="15" t="s">
        <v>48</v>
      </c>
    </row>
    <row r="12" ht="36.75" customHeight="1">
      <c r="A12" s="14" t="s">
        <v>49</v>
      </c>
      <c r="B12" s="14" t="str">
        <f>IMAGE("https://lmztiles.s3.eu-west-1.amazonaws.com/Modern_Interiors_v41.3.4/1_Interiors/16x16/Theme_Sorter_Singles/2_Living_Room_Singles/Living_Room_Singles_12.png")</f>
        <v/>
      </c>
      <c r="C12" s="15" t="s">
        <v>50</v>
      </c>
    </row>
    <row r="13" ht="36.75" customHeight="1">
      <c r="A13" s="14" t="s">
        <v>51</v>
      </c>
      <c r="B13" s="14" t="str">
        <f>IMAGE("https://lmztiles.s3.eu-west-1.amazonaws.com/Modern_Interiors_v41.3.4/1_Interiors/16x16/Theme_Sorter_Singles/2_Living_Room_Singles/Living_Room_Singles_13.png")</f>
        <v/>
      </c>
      <c r="C13" s="15" t="s">
        <v>52</v>
      </c>
    </row>
    <row r="14" ht="36.75" customHeight="1">
      <c r="A14" s="14" t="s">
        <v>53</v>
      </c>
      <c r="B14" s="14" t="str">
        <f>IMAGE("https://lmztiles.s3.eu-west-1.amazonaws.com/Modern_Interiors_v41.3.4/1_Interiors/16x16/Theme_Sorter_Singles/2_Living_Room_Singles/Living_Room_Singles_14.png")</f>
        <v/>
      </c>
      <c r="C14" s="15" t="s">
        <v>54</v>
      </c>
    </row>
    <row r="15" ht="36.75" customHeight="1">
      <c r="A15" s="14" t="s">
        <v>55</v>
      </c>
      <c r="B15" s="14" t="str">
        <f>IMAGE("https://lmztiles.s3.eu-west-1.amazonaws.com/Modern_Interiors_v41.3.4/1_Interiors/16x16/Theme_Sorter_Singles/2_Living_Room_Singles/Living_Room_Singles_15.png")</f>
        <v/>
      </c>
      <c r="C15" s="15" t="s">
        <v>56</v>
      </c>
    </row>
    <row r="16" ht="36.75" customHeight="1">
      <c r="A16" s="14" t="s">
        <v>57</v>
      </c>
      <c r="B16" s="14" t="str">
        <f>IMAGE("https://lmztiles.s3.eu-west-1.amazonaws.com/Modern_Interiors_v41.3.4/1_Interiors/16x16/Theme_Sorter_Singles/2_Living_Room_Singles/Living_Room_Singles_16.png")</f>
        <v/>
      </c>
      <c r="C16" s="15" t="s">
        <v>58</v>
      </c>
    </row>
    <row r="17" ht="36.75" customHeight="1">
      <c r="A17" s="14" t="s">
        <v>59</v>
      </c>
      <c r="B17" s="14" t="str">
        <f>IMAGE("https://lmztiles.s3.eu-west-1.amazonaws.com/Modern_Interiors_v41.3.4/1_Interiors/16x16/Theme_Sorter_Singles/2_Living_Room_Singles/Living_Room_Singles_17.png")</f>
        <v/>
      </c>
      <c r="C17" s="15" t="s">
        <v>60</v>
      </c>
    </row>
    <row r="18" ht="36.75" customHeight="1">
      <c r="A18" s="14" t="s">
        <v>61</v>
      </c>
      <c r="B18" s="14" t="str">
        <f>IMAGE("https://lmztiles.s3.eu-west-1.amazonaws.com/Modern_Interiors_v41.3.4/1_Interiors/16x16/Theme_Sorter_Singles/2_Living_Room_Singles/Living_Room_Singles_18.png")</f>
        <v/>
      </c>
      <c r="C18" s="15" t="s">
        <v>60</v>
      </c>
    </row>
    <row r="19" ht="36.75" customHeight="1">
      <c r="A19" s="14" t="s">
        <v>62</v>
      </c>
      <c r="B19" s="14" t="str">
        <f>IMAGE("https://lmztiles.s3.eu-west-1.amazonaws.com/Modern_Interiors_v41.3.4/1_Interiors/16x16/Theme_Sorter_Singles/2_Living_Room_Singles/Living_Room_Singles_19.png")</f>
        <v/>
      </c>
      <c r="C19" s="15" t="s">
        <v>63</v>
      </c>
    </row>
    <row r="20" ht="36.75" customHeight="1">
      <c r="A20" s="14" t="s">
        <v>64</v>
      </c>
      <c r="B20" s="14" t="str">
        <f>IMAGE("https://lmztiles.s3.eu-west-1.amazonaws.com/Modern_Interiors_v41.3.4/1_Interiors/16x16/Theme_Sorter_Singles/2_Living_Room_Singles/Living_Room_Singles_20.png")</f>
        <v/>
      </c>
      <c r="C20" s="15" t="s">
        <v>65</v>
      </c>
    </row>
    <row r="21" ht="36.75" customHeight="1">
      <c r="A21" s="14" t="s">
        <v>66</v>
      </c>
      <c r="B21" s="14" t="str">
        <f>IMAGE("https://lmztiles.s3.eu-west-1.amazonaws.com/Modern_Interiors_v41.3.4/1_Interiors/16x16/Theme_Sorter_Singles/2_Living_Room_Singles/Living_Room_Singles_21.png")</f>
        <v/>
      </c>
      <c r="C21" s="15" t="s">
        <v>63</v>
      </c>
    </row>
    <row r="22" ht="36.75" customHeight="1">
      <c r="A22" s="14" t="s">
        <v>67</v>
      </c>
      <c r="B22" s="14" t="str">
        <f>IMAGE("https://lmztiles.s3.eu-west-1.amazonaws.com/Modern_Interiors_v41.3.4/1_Interiors/16x16/Theme_Sorter_Singles/2_Living_Room_Singles/Living_Room_Singles_22.png")</f>
        <v/>
      </c>
      <c r="C22" s="15" t="s">
        <v>63</v>
      </c>
    </row>
    <row r="23" ht="36.75" customHeight="1">
      <c r="A23" s="14" t="s">
        <v>68</v>
      </c>
      <c r="B23" s="14" t="str">
        <f>IMAGE("https://lmztiles.s3.eu-west-1.amazonaws.com/Modern_Interiors_v41.3.4/1_Interiors/16x16/Theme_Sorter_Singles/2_Living_Room_Singles/Living_Room_Singles_23.png")</f>
        <v/>
      </c>
      <c r="C23" s="15" t="s">
        <v>63</v>
      </c>
    </row>
    <row r="24" ht="36.75" customHeight="1">
      <c r="A24" s="14" t="s">
        <v>69</v>
      </c>
      <c r="B24" s="14" t="str">
        <f>IMAGE("https://lmztiles.s3.eu-west-1.amazonaws.com/Modern_Interiors_v41.3.4/1_Interiors/16x16/Theme_Sorter_Singles/2_Living_Room_Singles/Living_Room_Singles_24.png")</f>
        <v/>
      </c>
      <c r="C24" s="15" t="s">
        <v>70</v>
      </c>
    </row>
    <row r="25" ht="36.75" customHeight="1">
      <c r="A25" s="14" t="s">
        <v>71</v>
      </c>
      <c r="B25" s="14" t="str">
        <f>IMAGE("https://lmztiles.s3.eu-west-1.amazonaws.com/Modern_Interiors_v41.3.4/1_Interiors/16x16/Theme_Sorter_Singles/2_Living_Room_Singles/Living_Room_Singles_25.png")</f>
        <v/>
      </c>
      <c r="C25" s="15" t="s">
        <v>72</v>
      </c>
    </row>
    <row r="26" ht="36.75" customHeight="1">
      <c r="A26" s="14" t="s">
        <v>73</v>
      </c>
      <c r="B26" s="14" t="str">
        <f>IMAGE("https://lmztiles.s3.eu-west-1.amazonaws.com/Modern_Interiors_v41.3.4/1_Interiors/16x16/Theme_Sorter_Singles/2_Living_Room_Singles/Living_Room_Singles_26.png")</f>
        <v/>
      </c>
      <c r="C26" s="15" t="s">
        <v>74</v>
      </c>
    </row>
    <row r="27" ht="36.75" customHeight="1">
      <c r="A27" s="14" t="s">
        <v>75</v>
      </c>
      <c r="B27" s="14" t="str">
        <f>IMAGE("https://lmztiles.s3.eu-west-1.amazonaws.com/Modern_Interiors_v41.3.4/1_Interiors/16x16/Theme_Sorter_Singles/2_Living_Room_Singles/Living_Room_Singles_27.png")</f>
        <v/>
      </c>
      <c r="C27" s="15" t="s">
        <v>76</v>
      </c>
    </row>
    <row r="28" ht="36.75" customHeight="1">
      <c r="A28" s="14" t="s">
        <v>77</v>
      </c>
      <c r="B28" s="14" t="str">
        <f>IMAGE("https://lmztiles.s3.eu-west-1.amazonaws.com/Modern_Interiors_v41.3.4/1_Interiors/16x16/Theme_Sorter_Singles/2_Living_Room_Singles/Living_Room_Singles_28.png")</f>
        <v/>
      </c>
      <c r="C28" s="15" t="s">
        <v>78</v>
      </c>
    </row>
    <row r="29" ht="36.75" customHeight="1">
      <c r="A29" s="14" t="s">
        <v>79</v>
      </c>
      <c r="B29" s="14" t="str">
        <f>IMAGE("https://lmztiles.s3.eu-west-1.amazonaws.com/Modern_Interiors_v41.3.4/1_Interiors/16x16/Theme_Sorter_Singles/2_Living_Room_Singles/Living_Room_Singles_29.png")</f>
        <v/>
      </c>
      <c r="C29" s="15" t="s">
        <v>80</v>
      </c>
    </row>
    <row r="30" ht="36.75" customHeight="1">
      <c r="A30" s="14" t="s">
        <v>81</v>
      </c>
      <c r="B30" s="14" t="str">
        <f>IMAGE("https://lmztiles.s3.eu-west-1.amazonaws.com/Modern_Interiors_v41.3.4/1_Interiors/16x16/Theme_Sorter_Singles/2_Living_Room_Singles/Living_Room_Singles_30.png")</f>
        <v/>
      </c>
      <c r="C30" s="15" t="s">
        <v>82</v>
      </c>
    </row>
    <row r="31" ht="36.75" customHeight="1">
      <c r="A31" s="14" t="s">
        <v>83</v>
      </c>
      <c r="B31" s="14" t="str">
        <f>IMAGE("https://lmztiles.s3.eu-west-1.amazonaws.com/Modern_Interiors_v41.3.4/1_Interiors/16x16/Theme_Sorter_Singles/2_Living_Room_Singles/Living_Room_Singles_31.png")</f>
        <v/>
      </c>
      <c r="C31" s="15" t="s">
        <v>84</v>
      </c>
    </row>
    <row r="32" ht="36.75" customHeight="1">
      <c r="A32" s="14" t="s">
        <v>85</v>
      </c>
      <c r="B32" s="14" t="str">
        <f>IMAGE("https://lmztiles.s3.eu-west-1.amazonaws.com/Modern_Interiors_v41.3.4/1_Interiors/16x16/Theme_Sorter_Singles/2_Living_Room_Singles/Living_Room_Singles_32.png")</f>
        <v/>
      </c>
      <c r="C32" s="15" t="s">
        <v>86</v>
      </c>
    </row>
    <row r="33" ht="36.75" customHeight="1">
      <c r="A33" s="14" t="s">
        <v>87</v>
      </c>
      <c r="B33" s="14" t="str">
        <f>IMAGE("https://lmztiles.s3.eu-west-1.amazonaws.com/Modern_Interiors_v41.3.4/1_Interiors/16x16/Theme_Sorter_Singles/2_Living_Room_Singles/Living_Room_Singles_33.png")</f>
        <v/>
      </c>
      <c r="C33" s="15" t="s">
        <v>80</v>
      </c>
    </row>
    <row r="34" ht="36.75" customHeight="1">
      <c r="A34" s="14" t="s">
        <v>88</v>
      </c>
      <c r="B34" s="14" t="str">
        <f>IMAGE("https://lmztiles.s3.eu-west-1.amazonaws.com/Modern_Interiors_v41.3.4/1_Interiors/16x16/Theme_Sorter_Singles/2_Living_Room_Singles/Living_Room_Singles_34.png")</f>
        <v/>
      </c>
      <c r="C34" s="15" t="s">
        <v>82</v>
      </c>
    </row>
    <row r="35" ht="36.75" customHeight="1">
      <c r="A35" s="14" t="s">
        <v>89</v>
      </c>
      <c r="B35" s="14" t="str">
        <f>IMAGE("https://lmztiles.s3.eu-west-1.amazonaws.com/Modern_Interiors_v41.3.4/1_Interiors/16x16/Theme_Sorter_Singles/2_Living_Room_Singles/Living_Room_Singles_35.png")</f>
        <v/>
      </c>
      <c r="C35" s="15" t="s">
        <v>84</v>
      </c>
    </row>
    <row r="36" ht="36.75" customHeight="1">
      <c r="A36" s="14" t="s">
        <v>90</v>
      </c>
      <c r="B36" s="14" t="str">
        <f>IMAGE("https://lmztiles.s3.eu-west-1.amazonaws.com/Modern_Interiors_v41.3.4/1_Interiors/16x16/Theme_Sorter_Singles/2_Living_Room_Singles/Living_Room_Singles_36.png")</f>
        <v/>
      </c>
      <c r="C36" s="15" t="s">
        <v>86</v>
      </c>
    </row>
    <row r="37" ht="36.75" customHeight="1">
      <c r="A37" s="14" t="s">
        <v>91</v>
      </c>
      <c r="B37" s="14" t="str">
        <f>IMAGE("https://lmztiles.s3.eu-west-1.amazonaws.com/Modern_Interiors_v41.3.4/1_Interiors/16x16/Theme_Sorter_Singles/2_Living_Room_Singles/Living_Room_Singles_37.png")</f>
        <v/>
      </c>
      <c r="C37" s="15" t="s">
        <v>28</v>
      </c>
    </row>
    <row r="38" ht="36.75" customHeight="1">
      <c r="A38" s="14" t="s">
        <v>92</v>
      </c>
      <c r="B38" s="14" t="str">
        <f>IMAGE("https://lmztiles.s3.eu-west-1.amazonaws.com/Modern_Interiors_v41.3.4/1_Interiors/16x16/Theme_Sorter_Singles/2_Living_Room_Singles/Living_Room_Singles_38.png")</f>
        <v/>
      </c>
      <c r="C38" s="15" t="s">
        <v>93</v>
      </c>
    </row>
    <row r="39" ht="36.75" customHeight="1">
      <c r="A39" s="14" t="s">
        <v>94</v>
      </c>
      <c r="B39" s="14" t="str">
        <f>IMAGE("https://lmztiles.s3.eu-west-1.amazonaws.com/Modern_Interiors_v41.3.4/1_Interiors/16x16/Theme_Sorter_Singles/2_Living_Room_Singles/Living_Room_Singles_39.png")</f>
        <v/>
      </c>
      <c r="C39" s="15" t="s">
        <v>28</v>
      </c>
    </row>
    <row r="40" ht="36.75" customHeight="1">
      <c r="A40" s="14" t="s">
        <v>95</v>
      </c>
      <c r="B40" s="14" t="str">
        <f>IMAGE("https://lmztiles.s3.eu-west-1.amazonaws.com/Modern_Interiors_v41.3.4/1_Interiors/16x16/Theme_Sorter_Singles/2_Living_Room_Singles/Living_Room_Singles_40.png")</f>
        <v/>
      </c>
      <c r="C40" s="15" t="s">
        <v>93</v>
      </c>
    </row>
    <row r="41" ht="36.75" customHeight="1">
      <c r="A41" s="14" t="s">
        <v>96</v>
      </c>
      <c r="B41" s="14" t="str">
        <f>IMAGE("https://lmztiles.s3.eu-west-1.amazonaws.com/Modern_Interiors_v41.3.4/1_Interiors/16x16/Theme_Sorter_Singles/2_Living_Room_Singles/Living_Room_Singles_41.png")</f>
        <v/>
      </c>
      <c r="C41" s="15" t="s">
        <v>97</v>
      </c>
    </row>
    <row r="42" ht="36.75" customHeight="1">
      <c r="A42" s="14" t="s">
        <v>98</v>
      </c>
      <c r="B42" s="14" t="str">
        <f>IMAGE("https://lmztiles.s3.eu-west-1.amazonaws.com/Modern_Interiors_v41.3.4/1_Interiors/16x16/Theme_Sorter_Singles/2_Living_Room_Singles/Living_Room_Singles_42.png")</f>
        <v/>
      </c>
      <c r="C42" s="15" t="s">
        <v>99</v>
      </c>
    </row>
    <row r="43" ht="36.75" customHeight="1">
      <c r="A43" s="14" t="s">
        <v>100</v>
      </c>
      <c r="B43" s="14" t="str">
        <f>IMAGE("https://lmztiles.s3.eu-west-1.amazonaws.com/Modern_Interiors_v41.3.4/1_Interiors/16x16/Theme_Sorter_Singles/2_Living_Room_Singles/Living_Room_Singles_43.png")</f>
        <v/>
      </c>
      <c r="C43" s="15" t="s">
        <v>101</v>
      </c>
    </row>
    <row r="44" ht="36.75" customHeight="1">
      <c r="A44" s="14" t="s">
        <v>102</v>
      </c>
      <c r="B44" s="14" t="str">
        <f>IMAGE("https://lmztiles.s3.eu-west-1.amazonaws.com/Modern_Interiors_v41.3.4/1_Interiors/16x16/Theme_Sorter_Singles/2_Living_Room_Singles/Living_Room_Singles_44.png")</f>
        <v/>
      </c>
      <c r="C44" s="15" t="s">
        <v>103</v>
      </c>
    </row>
    <row r="45" ht="36.75" customHeight="1">
      <c r="A45" s="14" t="s">
        <v>104</v>
      </c>
      <c r="B45" s="14" t="str">
        <f>IMAGE("https://lmztiles.s3.eu-west-1.amazonaws.com/Modern_Interiors_v41.3.4/1_Interiors/16x16/Theme_Sorter_Singles/2_Living_Room_Singles/Living_Room_Singles_45.png")</f>
        <v/>
      </c>
      <c r="C45" s="15" t="s">
        <v>40</v>
      </c>
    </row>
    <row r="46" ht="36.75" customHeight="1">
      <c r="A46" s="14" t="s">
        <v>105</v>
      </c>
      <c r="B46" s="14" t="str">
        <f>IMAGE("https://lmztiles.s3.eu-west-1.amazonaws.com/Modern_Interiors_v41.3.4/1_Interiors/16x16/Theme_Sorter_Singles/2_Living_Room_Singles/Living_Room_Singles_46.png")</f>
        <v/>
      </c>
      <c r="C46" s="15" t="s">
        <v>106</v>
      </c>
    </row>
    <row r="47" ht="36.75" customHeight="1">
      <c r="A47" s="14" t="s">
        <v>107</v>
      </c>
      <c r="B47" s="14" t="str">
        <f>IMAGE("https://lmztiles.s3.eu-west-1.amazonaws.com/Modern_Interiors_v41.3.4/1_Interiors/16x16/Theme_Sorter_Singles/2_Living_Room_Singles/Living_Room_Singles_47.png")</f>
        <v/>
      </c>
      <c r="C47" s="15" t="s">
        <v>108</v>
      </c>
    </row>
    <row r="48" ht="36.75" customHeight="1">
      <c r="A48" s="14" t="s">
        <v>109</v>
      </c>
      <c r="B48" s="14" t="str">
        <f>IMAGE("https://lmztiles.s3.eu-west-1.amazonaws.com/Modern_Interiors_v41.3.4/1_Interiors/16x16/Theme_Sorter_Singles/2_Living_Room_Singles/Living_Room_Singles_48.png")</f>
        <v/>
      </c>
      <c r="C48" s="15" t="s">
        <v>110</v>
      </c>
    </row>
    <row r="49" ht="36.75" customHeight="1">
      <c r="A49" s="14" t="s">
        <v>111</v>
      </c>
      <c r="B49" s="14" t="str">
        <f>IMAGE("https://lmztiles.s3.eu-west-1.amazonaws.com/Modern_Interiors_v41.3.4/1_Interiors/16x16/Theme_Sorter_Singles/2_Living_Room_Singles/Living_Room_Singles_49.png")</f>
        <v/>
      </c>
      <c r="C49" s="15" t="s">
        <v>110</v>
      </c>
    </row>
    <row r="50" ht="36.75" customHeight="1">
      <c r="A50" s="14" t="s">
        <v>112</v>
      </c>
      <c r="B50" s="14" t="str">
        <f>IMAGE("https://lmztiles.s3.eu-west-1.amazonaws.com/Modern_Interiors_v41.3.4/1_Interiors/16x16/Theme_Sorter_Singles/2_Living_Room_Singles/Living_Room_Singles_50.png")</f>
        <v/>
      </c>
      <c r="C50" s="15" t="s">
        <v>110</v>
      </c>
    </row>
    <row r="51" ht="36.75" customHeight="1">
      <c r="A51" s="14" t="s">
        <v>113</v>
      </c>
      <c r="B51" s="14" t="str">
        <f>IMAGE("https://lmztiles.s3.eu-west-1.amazonaws.com/Modern_Interiors_v41.3.4/1_Interiors/16x16/Theme_Sorter_Singles/2_Living_Room_Singles/Living_Room_Singles_51.png")</f>
        <v/>
      </c>
      <c r="C51" s="15" t="s">
        <v>114</v>
      </c>
    </row>
    <row r="52" ht="36.75" customHeight="1">
      <c r="A52" s="14" t="s">
        <v>115</v>
      </c>
      <c r="B52" s="14" t="str">
        <f>IMAGE("https://lmztiles.s3.eu-west-1.amazonaws.com/Modern_Interiors_v41.3.4/1_Interiors/16x16/Theme_Sorter_Singles/2_Living_Room_Singles/Living_Room_Singles_52.png")</f>
        <v/>
      </c>
      <c r="C52" s="15" t="s">
        <v>116</v>
      </c>
    </row>
    <row r="53" ht="36.75" customHeight="1">
      <c r="A53" s="14" t="s">
        <v>117</v>
      </c>
      <c r="B53" s="14" t="str">
        <f>IMAGE("https://lmztiles.s3.eu-west-1.amazonaws.com/Modern_Interiors_v41.3.4/1_Interiors/16x16/Theme_Sorter_Singles/2_Living_Room_Singles/Living_Room_Singles_53.png")</f>
        <v/>
      </c>
      <c r="C53" s="15" t="s">
        <v>118</v>
      </c>
    </row>
    <row r="54" ht="36.75" customHeight="1">
      <c r="A54" s="14" t="s">
        <v>119</v>
      </c>
      <c r="B54" s="14" t="str">
        <f>IMAGE("https://lmztiles.s3.eu-west-1.amazonaws.com/Modern_Interiors_v41.3.4/1_Interiors/16x16/Theme_Sorter_Singles/2_Living_Room_Singles/Living_Room_Singles_54.png")</f>
        <v/>
      </c>
      <c r="C54" s="15" t="s">
        <v>120</v>
      </c>
    </row>
    <row r="55" ht="36.75" customHeight="1">
      <c r="A55" s="14" t="s">
        <v>121</v>
      </c>
      <c r="B55" s="14" t="str">
        <f>IMAGE("https://lmztiles.s3.eu-west-1.amazonaws.com/Modern_Interiors_v41.3.4/1_Interiors/16x16/Theme_Sorter_Singles/2_Living_Room_Singles/Living_Room_Singles_55.png")</f>
        <v/>
      </c>
      <c r="C55" s="15" t="s">
        <v>122</v>
      </c>
    </row>
    <row r="56" ht="36.75" customHeight="1">
      <c r="A56" s="14" t="s">
        <v>123</v>
      </c>
      <c r="B56" s="14" t="str">
        <f>IMAGE("https://lmztiles.s3.eu-west-1.amazonaws.com/Modern_Interiors_v41.3.4/1_Interiors/16x16/Theme_Sorter_Singles/2_Living_Room_Singles/Living_Room_Singles_56.png")</f>
        <v/>
      </c>
      <c r="C56" s="15" t="s">
        <v>124</v>
      </c>
    </row>
    <row r="57" ht="36.75" customHeight="1">
      <c r="A57" s="14" t="s">
        <v>125</v>
      </c>
      <c r="B57" s="14" t="str">
        <f>IMAGE("https://lmztiles.s3.eu-west-1.amazonaws.com/Modern_Interiors_v41.3.4/1_Interiors/16x16/Theme_Sorter_Singles/2_Living_Room_Singles/Living_Room_Singles_57.png")</f>
        <v/>
      </c>
      <c r="C57" s="15" t="s">
        <v>126</v>
      </c>
    </row>
    <row r="58" ht="36.75" customHeight="1">
      <c r="A58" s="14" t="s">
        <v>127</v>
      </c>
      <c r="B58" s="14" t="str">
        <f>IMAGE("https://lmztiles.s3.eu-west-1.amazonaws.com/Modern_Interiors_v41.3.4/1_Interiors/16x16/Theme_Sorter_Singles/2_Living_Room_Singles/Living_Room_Singles_58.png")</f>
        <v/>
      </c>
      <c r="C58" s="15" t="s">
        <v>128</v>
      </c>
    </row>
    <row r="59" ht="36.75" customHeight="1">
      <c r="A59" s="14" t="s">
        <v>129</v>
      </c>
      <c r="B59" s="14" t="str">
        <f>IMAGE("https://lmztiles.s3.eu-west-1.amazonaws.com/Modern_Interiors_v41.3.4/1_Interiors/16x16/Theme_Sorter_Singles/2_Living_Room_Singles/Living_Room_Singles_59.png")</f>
        <v/>
      </c>
      <c r="C59" s="15" t="s">
        <v>130</v>
      </c>
    </row>
    <row r="60" ht="36.75" customHeight="1">
      <c r="A60" s="14" t="s">
        <v>131</v>
      </c>
      <c r="B60" s="14" t="str">
        <f>IMAGE("https://lmztiles.s3.eu-west-1.amazonaws.com/Modern_Interiors_v41.3.4/1_Interiors/16x16/Theme_Sorter_Singles/2_Living_Room_Singles/Living_Room_Singles_60.png")</f>
        <v/>
      </c>
      <c r="C60" s="15" t="s">
        <v>132</v>
      </c>
    </row>
    <row r="61" ht="36.75" customHeight="1">
      <c r="A61" s="14" t="s">
        <v>133</v>
      </c>
      <c r="B61" s="14" t="str">
        <f>IMAGE("https://lmztiles.s3.eu-west-1.amazonaws.com/Modern_Interiors_v41.3.4/1_Interiors/16x16/Theme_Sorter_Singles/2_Living_Room_Singles/Living_Room_Singles_61.png")</f>
        <v/>
      </c>
      <c r="C61" s="15" t="s">
        <v>134</v>
      </c>
    </row>
    <row r="62" ht="36.75" customHeight="1">
      <c r="A62" s="14" t="s">
        <v>135</v>
      </c>
      <c r="B62" s="14" t="str">
        <f>IMAGE("https://lmztiles.s3.eu-west-1.amazonaws.com/Modern_Interiors_v41.3.4/1_Interiors/16x16/Theme_Sorter_Singles/2_Living_Room_Singles/Living_Room_Singles_62.png")</f>
        <v/>
      </c>
      <c r="C62" s="15" t="s">
        <v>128</v>
      </c>
    </row>
    <row r="63" ht="36.75" customHeight="1">
      <c r="A63" s="14" t="s">
        <v>136</v>
      </c>
      <c r="B63" s="14" t="str">
        <f>IMAGE("https://lmztiles.s3.eu-west-1.amazonaws.com/Modern_Interiors_v41.3.4/1_Interiors/16x16/Theme_Sorter_Singles/2_Living_Room_Singles/Living_Room_Singles_63.png")</f>
        <v/>
      </c>
      <c r="C63" s="15" t="s">
        <v>137</v>
      </c>
    </row>
    <row r="64" ht="36.75" customHeight="1">
      <c r="A64" s="14" t="s">
        <v>138</v>
      </c>
      <c r="B64" s="14" t="str">
        <f>IMAGE("https://lmztiles.s3.eu-west-1.amazonaws.com/Modern_Interiors_v41.3.4/1_Interiors/16x16/Theme_Sorter_Singles/2_Living_Room_Singles/Living_Room_Singles_64.png")</f>
        <v/>
      </c>
      <c r="C64" s="15" t="s">
        <v>139</v>
      </c>
    </row>
    <row r="65" ht="36.75" customHeight="1">
      <c r="A65" s="14" t="s">
        <v>140</v>
      </c>
      <c r="B65" s="14" t="str">
        <f>IMAGE("https://lmztiles.s3.eu-west-1.amazonaws.com/Modern_Interiors_v41.3.4/1_Interiors/16x16/Theme_Sorter_Singles/2_Living_Room_Singles/Living_Room_Singles_65.png")</f>
        <v/>
      </c>
      <c r="C65" s="15" t="s">
        <v>137</v>
      </c>
    </row>
    <row r="66" ht="36.75" customHeight="1">
      <c r="A66" s="14" t="s">
        <v>141</v>
      </c>
      <c r="B66" s="14" t="str">
        <f>IMAGE("https://lmztiles.s3.eu-west-1.amazonaws.com/Modern_Interiors_v41.3.4/1_Interiors/16x16/Theme_Sorter_Singles/2_Living_Room_Singles/Living_Room_Singles_66.png")</f>
        <v/>
      </c>
      <c r="C66" s="15" t="s">
        <v>139</v>
      </c>
    </row>
    <row r="67" ht="36.75" customHeight="1">
      <c r="A67" s="14" t="s">
        <v>142</v>
      </c>
      <c r="B67" s="14" t="str">
        <f>IMAGE("https://lmztiles.s3.eu-west-1.amazonaws.com/Modern_Interiors_v41.3.4/1_Interiors/16x16/Theme_Sorter_Singles/2_Living_Room_Singles/Living_Room_Singles_67.png")</f>
        <v/>
      </c>
      <c r="C67" s="15" t="s">
        <v>137</v>
      </c>
    </row>
    <row r="68" ht="36.75" customHeight="1">
      <c r="A68" s="14" t="s">
        <v>143</v>
      </c>
      <c r="B68" s="14" t="str">
        <f>IMAGE("https://lmztiles.s3.eu-west-1.amazonaws.com/Modern_Interiors_v41.3.4/1_Interiors/16x16/Theme_Sorter_Singles/2_Living_Room_Singles/Living_Room_Singles_68.png")</f>
        <v/>
      </c>
      <c r="C68" s="15" t="s">
        <v>139</v>
      </c>
    </row>
    <row r="69" ht="36.75" customHeight="1">
      <c r="A69" s="14" t="s">
        <v>144</v>
      </c>
      <c r="B69" s="14" t="str">
        <f>IMAGE("https://lmztiles.s3.eu-west-1.amazonaws.com/Modern_Interiors_v41.3.4/1_Interiors/16x16/Theme_Sorter_Singles/2_Living_Room_Singles/Living_Room_Singles_69.png")</f>
        <v/>
      </c>
      <c r="C69" s="15" t="s">
        <v>137</v>
      </c>
    </row>
    <row r="70" ht="36.75" customHeight="1">
      <c r="A70" s="14" t="s">
        <v>145</v>
      </c>
      <c r="B70" s="14" t="str">
        <f>IMAGE("https://lmztiles.s3.eu-west-1.amazonaws.com/Modern_Interiors_v41.3.4/1_Interiors/16x16/Theme_Sorter_Singles/2_Living_Room_Singles/Living_Room_Singles_70.png")</f>
        <v/>
      </c>
      <c r="C70" s="15" t="s">
        <v>146</v>
      </c>
    </row>
    <row r="71" ht="36.75" customHeight="1">
      <c r="A71" s="14" t="s">
        <v>147</v>
      </c>
      <c r="B71" s="14" t="str">
        <f>IMAGE("https://lmztiles.s3.eu-west-1.amazonaws.com/Modern_Interiors_v41.3.4/1_Interiors/16x16/Theme_Sorter_Singles/2_Living_Room_Singles/Living_Room_Singles_71.png")</f>
        <v/>
      </c>
      <c r="C71" s="15" t="s">
        <v>148</v>
      </c>
    </row>
    <row r="72" ht="36.75" customHeight="1">
      <c r="A72" s="14" t="s">
        <v>149</v>
      </c>
      <c r="B72" s="14" t="str">
        <f>IMAGE("https://lmztiles.s3.eu-west-1.amazonaws.com/Modern_Interiors_v41.3.4/1_Interiors/16x16/Theme_Sorter_Singles/2_Living_Room_Singles/Living_Room_Singles_72.png")</f>
        <v/>
      </c>
      <c r="C72" s="15" t="s">
        <v>150</v>
      </c>
    </row>
    <row r="73" ht="36.75" customHeight="1">
      <c r="A73" s="14" t="s">
        <v>151</v>
      </c>
      <c r="B73" s="14" t="str">
        <f>IMAGE("https://lmztiles.s3.eu-west-1.amazonaws.com/Modern_Interiors_v41.3.4/1_Interiors/16x16/Theme_Sorter_Singles/2_Living_Room_Singles/Living_Room_Singles_73.png")</f>
        <v/>
      </c>
      <c r="C73" s="15" t="s">
        <v>152</v>
      </c>
    </row>
    <row r="74" ht="36.75" customHeight="1">
      <c r="A74" s="14" t="s">
        <v>153</v>
      </c>
      <c r="B74" s="14" t="str">
        <f>IMAGE("https://lmztiles.s3.eu-west-1.amazonaws.com/Modern_Interiors_v41.3.4/1_Interiors/16x16/Theme_Sorter_Singles/2_Living_Room_Singles/Living_Room_Singles_74.png")</f>
        <v/>
      </c>
      <c r="C74" s="15" t="s">
        <v>154</v>
      </c>
    </row>
    <row r="75" ht="36.75" customHeight="1">
      <c r="A75" s="14" t="s">
        <v>155</v>
      </c>
      <c r="B75" s="14" t="str">
        <f>IMAGE("https://lmztiles.s3.eu-west-1.amazonaws.com/Modern_Interiors_v41.3.4/1_Interiors/16x16/Theme_Sorter_Singles/2_Living_Room_Singles/Living_Room_Singles_75.png")</f>
        <v/>
      </c>
      <c r="C75" s="15" t="s">
        <v>148</v>
      </c>
    </row>
    <row r="76" ht="36.75" customHeight="1">
      <c r="A76" s="14" t="s">
        <v>156</v>
      </c>
      <c r="B76" s="14" t="str">
        <f>IMAGE("https://lmztiles.s3.eu-west-1.amazonaws.com/Modern_Interiors_v41.3.4/1_Interiors/16x16/Theme_Sorter_Singles/2_Living_Room_Singles/Living_Room_Singles_76.png")</f>
        <v/>
      </c>
      <c r="C76" s="15" t="s">
        <v>150</v>
      </c>
    </row>
    <row r="77" ht="36.75" customHeight="1">
      <c r="A77" s="14" t="s">
        <v>157</v>
      </c>
      <c r="B77" s="14" t="str">
        <f>IMAGE("https://lmztiles.s3.eu-west-1.amazonaws.com/Modern_Interiors_v41.3.4/1_Interiors/16x16/Theme_Sorter_Singles/2_Living_Room_Singles/Living_Room_Singles_77.png")</f>
        <v/>
      </c>
      <c r="C77" s="15" t="s">
        <v>152</v>
      </c>
    </row>
    <row r="78" ht="36.75" customHeight="1">
      <c r="A78" s="14" t="s">
        <v>158</v>
      </c>
      <c r="B78" s="14" t="str">
        <f>IMAGE("https://lmztiles.s3.eu-west-1.amazonaws.com/Modern_Interiors_v41.3.4/1_Interiors/16x16/Theme_Sorter_Singles/2_Living_Room_Singles/Living_Room_Singles_78.png")</f>
        <v/>
      </c>
      <c r="C78" s="15" t="s">
        <v>154</v>
      </c>
    </row>
    <row r="79" ht="36.75" customHeight="1">
      <c r="A79" s="14" t="s">
        <v>159</v>
      </c>
      <c r="B79" s="14" t="str">
        <f>IMAGE("https://lmztiles.s3.eu-west-1.amazonaws.com/Modern_Interiors_v41.3.4/1_Interiors/16x16/Theme_Sorter_Singles/2_Living_Room_Singles/Living_Room_Singles_79.png")</f>
        <v/>
      </c>
      <c r="C79" s="15" t="s">
        <v>160</v>
      </c>
    </row>
    <row r="80" ht="36.75" customHeight="1">
      <c r="A80" s="14" t="s">
        <v>161</v>
      </c>
      <c r="B80" s="14" t="str">
        <f>IMAGE("https://lmztiles.s3.eu-west-1.amazonaws.com/Modern_Interiors_v41.3.4/1_Interiors/16x16/Theme_Sorter_Singles/2_Living_Room_Singles/Living_Room_Singles_80.png")</f>
        <v/>
      </c>
      <c r="C80" s="15" t="s">
        <v>160</v>
      </c>
    </row>
    <row r="81" ht="36.75" customHeight="1">
      <c r="A81" s="14" t="s">
        <v>162</v>
      </c>
      <c r="B81" s="14" t="str">
        <f>IMAGE("https://lmztiles.s3.eu-west-1.amazonaws.com/Modern_Interiors_v41.3.4/1_Interiors/16x16/Theme_Sorter_Singles/2_Living_Room_Singles/Living_Room_Singles_81.png")</f>
        <v/>
      </c>
      <c r="C81" s="15" t="s">
        <v>163</v>
      </c>
    </row>
    <row r="82" ht="36.75" customHeight="1">
      <c r="A82" s="14" t="s">
        <v>164</v>
      </c>
      <c r="B82" s="14" t="str">
        <f>IMAGE("https://lmztiles.s3.eu-west-1.amazonaws.com/Modern_Interiors_v41.3.4/1_Interiors/16x16/Theme_Sorter_Singles/2_Living_Room_Singles/Living_Room_Singles_82.png")</f>
        <v/>
      </c>
      <c r="C82" s="15" t="s">
        <v>163</v>
      </c>
    </row>
    <row r="83" ht="36.75" customHeight="1">
      <c r="A83" s="14" t="s">
        <v>165</v>
      </c>
      <c r="B83" s="14" t="str">
        <f>IMAGE("https://lmztiles.s3.eu-west-1.amazonaws.com/Modern_Interiors_v41.3.4/1_Interiors/16x16/Theme_Sorter_Singles/2_Living_Room_Singles/Living_Room_Singles_83.png")</f>
        <v/>
      </c>
      <c r="C83" s="15" t="s">
        <v>160</v>
      </c>
    </row>
    <row r="84" ht="36.75" customHeight="1">
      <c r="A84" s="14" t="s">
        <v>166</v>
      </c>
      <c r="B84" s="14" t="str">
        <f>IMAGE("https://lmztiles.s3.eu-west-1.amazonaws.com/Modern_Interiors_v41.3.4/1_Interiors/16x16/Theme_Sorter_Singles/2_Living_Room_Singles/Living_Room_Singles_84.png")</f>
        <v/>
      </c>
      <c r="C84" s="15" t="s">
        <v>163</v>
      </c>
    </row>
    <row r="85" ht="36.75" customHeight="1">
      <c r="A85" s="14" t="s">
        <v>167</v>
      </c>
      <c r="B85" s="14" t="str">
        <f>IMAGE("https://lmztiles.s3.eu-west-1.amazonaws.com/Modern_Interiors_v41.3.4/1_Interiors/16x16/Theme_Sorter_Singles/2_Living_Room_Singles/Living_Room_Singles_85.png")</f>
        <v/>
      </c>
      <c r="C85" s="15" t="s">
        <v>160</v>
      </c>
    </row>
    <row r="86" ht="36.75" customHeight="1">
      <c r="A86" s="14" t="s">
        <v>168</v>
      </c>
      <c r="B86" s="14" t="str">
        <f>IMAGE("https://lmztiles.s3.eu-west-1.amazonaws.com/Modern_Interiors_v41.3.4/1_Interiors/16x16/Theme_Sorter_Singles/2_Living_Room_Singles/Living_Room_Singles_86.png")</f>
        <v/>
      </c>
      <c r="C86" s="15" t="s">
        <v>163</v>
      </c>
    </row>
    <row r="87" ht="36.75" customHeight="1">
      <c r="A87" s="14" t="s">
        <v>169</v>
      </c>
      <c r="B87" s="14" t="str">
        <f>IMAGE("https://lmztiles.s3.eu-west-1.amazonaws.com/Modern_Interiors_v41.3.4/1_Interiors/16x16/Theme_Sorter_Singles/2_Living_Room_Singles/Living_Room_Singles_87.png")</f>
        <v/>
      </c>
      <c r="C87" s="15" t="s">
        <v>170</v>
      </c>
    </row>
    <row r="88" ht="36.75" customHeight="1">
      <c r="A88" s="14" t="s">
        <v>171</v>
      </c>
      <c r="B88" s="14" t="str">
        <f>IMAGE("https://lmztiles.s3.eu-west-1.amazonaws.com/Modern_Interiors_v41.3.4/1_Interiors/16x16/Theme_Sorter_Singles/2_Living_Room_Singles/Living_Room_Singles_88.png")</f>
        <v/>
      </c>
      <c r="C88" s="15" t="s">
        <v>170</v>
      </c>
    </row>
    <row r="89" ht="36.75" customHeight="1">
      <c r="A89" s="14" t="s">
        <v>172</v>
      </c>
      <c r="B89" s="14" t="str">
        <f>IMAGE("https://lmztiles.s3.eu-west-1.amazonaws.com/Modern_Interiors_v41.3.4/1_Interiors/16x16/Theme_Sorter_Singles/2_Living_Room_Singles/Living_Room_Singles_89.png")</f>
        <v/>
      </c>
      <c r="C89" s="15" t="s">
        <v>173</v>
      </c>
    </row>
    <row r="90" ht="36.75" customHeight="1">
      <c r="A90" s="14" t="s">
        <v>174</v>
      </c>
      <c r="B90" s="14" t="str">
        <f>IMAGE("https://lmztiles.s3.eu-west-1.amazonaws.com/Modern_Interiors_v41.3.4/1_Interiors/16x16/Theme_Sorter_Singles/2_Living_Room_Singles/Living_Room_Singles_90.png")</f>
        <v/>
      </c>
      <c r="C90" s="15" t="s">
        <v>173</v>
      </c>
    </row>
    <row r="91" ht="36.75" customHeight="1">
      <c r="A91" s="14" t="s">
        <v>175</v>
      </c>
      <c r="B91" s="14" t="str">
        <f>IMAGE("https://lmztiles.s3.eu-west-1.amazonaws.com/Modern_Interiors_v41.3.4/1_Interiors/16x16/Theme_Sorter_Singles/2_Living_Room_Singles/Living_Room_Singles_91.png")</f>
        <v/>
      </c>
      <c r="C91" s="15" t="s">
        <v>176</v>
      </c>
    </row>
    <row r="92" ht="36.75" customHeight="1">
      <c r="A92" s="14" t="s">
        <v>177</v>
      </c>
      <c r="B92" s="14" t="str">
        <f>IMAGE("https://lmztiles.s3.eu-west-1.amazonaws.com/Modern_Interiors_v41.3.4/1_Interiors/16x16/Theme_Sorter_Singles/2_Living_Room_Singles/Living_Room_Singles_92.png")</f>
        <v/>
      </c>
      <c r="C92" s="15" t="s">
        <v>178</v>
      </c>
    </row>
    <row r="93" ht="36.75" customHeight="1">
      <c r="A93" s="14" t="s">
        <v>179</v>
      </c>
      <c r="B93" s="14" t="str">
        <f>IMAGE("https://lmztiles.s3.eu-west-1.amazonaws.com/Modern_Interiors_v41.3.4/1_Interiors/16x16/Theme_Sorter_Singles/2_Living_Room_Singles/Living_Room_Singles_93.png")</f>
        <v/>
      </c>
      <c r="C93" s="15" t="s">
        <v>178</v>
      </c>
    </row>
    <row r="94" ht="36.75" customHeight="1">
      <c r="A94" s="14" t="s">
        <v>180</v>
      </c>
      <c r="B94" s="14" t="str">
        <f>IMAGE("https://lmztiles.s3.eu-west-1.amazonaws.com/Modern_Interiors_v41.3.4/1_Interiors/16x16/Theme_Sorter_Singles/2_Living_Room_Singles/Living_Room_Singles_94.png")</f>
        <v/>
      </c>
      <c r="C94" s="15" t="s">
        <v>181</v>
      </c>
    </row>
    <row r="95" ht="36.75" customHeight="1">
      <c r="A95" s="14" t="s">
        <v>182</v>
      </c>
      <c r="B95" s="14" t="str">
        <f>IMAGE("https://lmztiles.s3.eu-west-1.amazonaws.com/Modern_Interiors_v41.3.4/1_Interiors/16x16/Theme_Sorter_Singles/2_Living_Room_Singles/Living_Room_Singles_95.png")</f>
        <v/>
      </c>
      <c r="C95" s="15" t="s">
        <v>183</v>
      </c>
    </row>
    <row r="96" ht="36.75" customHeight="1">
      <c r="A96" s="14" t="s">
        <v>184</v>
      </c>
      <c r="B96" s="14" t="str">
        <f>IMAGE("https://lmztiles.s3.eu-west-1.amazonaws.com/Modern_Interiors_v41.3.4/1_Interiors/16x16/Theme_Sorter_Singles/2_Living_Room_Singles/Living_Room_Singles_96.png")</f>
        <v/>
      </c>
      <c r="C96" s="15" t="s">
        <v>185</v>
      </c>
    </row>
    <row r="97" ht="36.75" customHeight="1">
      <c r="A97" s="14" t="s">
        <v>186</v>
      </c>
      <c r="B97" s="14" t="str">
        <f>IMAGE("https://lmztiles.s3.eu-west-1.amazonaws.com/Modern_Interiors_v41.3.4/1_Interiors/16x16/Theme_Sorter_Singles/2_Living_Room_Singles/Living_Room_Singles_97.png")</f>
        <v/>
      </c>
      <c r="C97" s="15" t="s">
        <v>187</v>
      </c>
    </row>
    <row r="98" ht="36.75" customHeight="1">
      <c r="A98" s="14" t="s">
        <v>188</v>
      </c>
      <c r="B98" s="14" t="str">
        <f>IMAGE("https://lmztiles.s3.eu-west-1.amazonaws.com/Modern_Interiors_v41.3.4/1_Interiors/16x16/Theme_Sorter_Singles/2_Living_Room_Singles/Living_Room_Singles_98.png")</f>
        <v/>
      </c>
      <c r="C98" s="15" t="s">
        <v>189</v>
      </c>
    </row>
    <row r="99" ht="36.75" customHeight="1">
      <c r="A99" s="14" t="s">
        <v>190</v>
      </c>
      <c r="B99" s="14" t="str">
        <f>IMAGE("https://lmztiles.s3.eu-west-1.amazonaws.com/Modern_Interiors_v41.3.4/1_Interiors/16x16/Theme_Sorter_Singles/2_Living_Room_Singles/Living_Room_Singles_99.png")</f>
        <v/>
      </c>
      <c r="C99" s="15" t="s">
        <v>183</v>
      </c>
    </row>
    <row r="100" ht="36.75" customHeight="1">
      <c r="A100" s="14" t="s">
        <v>191</v>
      </c>
      <c r="B100" s="14" t="str">
        <f>IMAGE("https://lmztiles.s3.eu-west-1.amazonaws.com/Modern_Interiors_v41.3.4/1_Interiors/16x16/Theme_Sorter_Singles/2_Living_Room_Singles/Living_Room_Singles_100.png")</f>
        <v/>
      </c>
      <c r="C100" s="15" t="s">
        <v>183</v>
      </c>
    </row>
    <row r="101" ht="36.75" customHeight="1">
      <c r="A101" s="14" t="s">
        <v>192</v>
      </c>
      <c r="B101" s="14" t="str">
        <f>IMAGE("https://lmztiles.s3.eu-west-1.amazonaws.com/Modern_Interiors_v41.3.4/1_Interiors/16x16/Theme_Sorter_Singles/2_Living_Room_Singles/Living_Room_Singles_101.png")</f>
        <v/>
      </c>
      <c r="C101" s="15" t="s">
        <v>193</v>
      </c>
    </row>
    <row r="102" ht="36.75" customHeight="1">
      <c r="A102" s="14" t="s">
        <v>194</v>
      </c>
      <c r="B102" s="14" t="str">
        <f>IMAGE("https://lmztiles.s3.eu-west-1.amazonaws.com/Modern_Interiors_v41.3.4/1_Interiors/16x16/Theme_Sorter_Singles/2_Living_Room_Singles/Living_Room_Singles_102.png")</f>
        <v/>
      </c>
      <c r="C102" s="15" t="s">
        <v>195</v>
      </c>
    </row>
    <row r="103" ht="36.75" customHeight="1">
      <c r="A103" s="14" t="s">
        <v>196</v>
      </c>
      <c r="B103" s="14" t="str">
        <f>IMAGE("https://lmztiles.s3.eu-west-1.amazonaws.com/Modern_Interiors_v41.3.4/1_Interiors/16x16/Theme_Sorter_Singles/2_Living_Room_Singles/Living_Room_Singles_103.png")</f>
        <v/>
      </c>
      <c r="C103" s="15" t="s">
        <v>197</v>
      </c>
    </row>
    <row r="104" ht="36.75" customHeight="1">
      <c r="A104" s="14" t="s">
        <v>198</v>
      </c>
      <c r="B104" s="14" t="str">
        <f>IMAGE("https://lmztiles.s3.eu-west-1.amazonaws.com/Modern_Interiors_v41.3.4/1_Interiors/16x16/Theme_Sorter_Singles/2_Living_Room_Singles/Living_Room_Singles_104.png")</f>
        <v/>
      </c>
      <c r="C104" s="15" t="s">
        <v>199</v>
      </c>
    </row>
    <row r="105" ht="36.75" customHeight="1">
      <c r="A105" s="14" t="s">
        <v>200</v>
      </c>
      <c r="B105" s="14" t="str">
        <f>IMAGE("https://lmztiles.s3.eu-west-1.amazonaws.com/Modern_Interiors_v41.3.4/1_Interiors/16x16/Theme_Sorter_Singles/2_Living_Room_Singles/Living_Room_Singles_105.png")</f>
        <v/>
      </c>
      <c r="C105" s="15" t="s">
        <v>201</v>
      </c>
    </row>
    <row r="106" ht="36.75" customHeight="1">
      <c r="A106" s="14" t="s">
        <v>202</v>
      </c>
      <c r="B106" s="14" t="str">
        <f>IMAGE("https://lmztiles.s3.eu-west-1.amazonaws.com/Modern_Interiors_v41.3.4/1_Interiors/16x16/Theme_Sorter_Singles/2_Living_Room_Singles/Living_Room_Singles_106.png")</f>
        <v/>
      </c>
      <c r="C106" s="15" t="s">
        <v>203</v>
      </c>
    </row>
    <row r="107" ht="36.75" customHeight="1">
      <c r="A107" s="14" t="s">
        <v>204</v>
      </c>
      <c r="B107" s="14" t="str">
        <f>IMAGE("https://lmztiles.s3.eu-west-1.amazonaws.com/Modern_Interiors_v41.3.4/1_Interiors/16x16/Theme_Sorter_Singles/2_Living_Room_Singles/Living_Room_Singles_107.png")</f>
        <v/>
      </c>
      <c r="C107" s="15" t="s">
        <v>205</v>
      </c>
    </row>
    <row r="108" ht="36.75" customHeight="1">
      <c r="A108" s="14" t="s">
        <v>206</v>
      </c>
      <c r="B108" s="14" t="str">
        <f>IMAGE("https://lmztiles.s3.eu-west-1.amazonaws.com/Modern_Interiors_v41.3.4/1_Interiors/16x16/Theme_Sorter_Singles/2_Living_Room_Singles/Living_Room_Singles_108.png")</f>
        <v/>
      </c>
      <c r="C108" s="15" t="s">
        <v>205</v>
      </c>
    </row>
    <row r="109" ht="36.75" customHeight="1">
      <c r="A109" s="14" t="s">
        <v>207</v>
      </c>
      <c r="B109" s="14" t="str">
        <f>IMAGE("https://lmztiles.s3.eu-west-1.amazonaws.com/Modern_Interiors_v41.3.4/1_Interiors/16x16/Theme_Sorter_Singles/2_Living_Room_Singles/Living_Room_Singles_109.png")</f>
        <v/>
      </c>
      <c r="C109" s="15" t="s">
        <v>205</v>
      </c>
    </row>
    <row r="110" ht="36.75" customHeight="1">
      <c r="A110" s="14" t="s">
        <v>208</v>
      </c>
      <c r="B110" s="14" t="str">
        <f>IMAGE("https://lmztiles.s3.eu-west-1.amazonaws.com/Modern_Interiors_v41.3.4/1_Interiors/16x16/Theme_Sorter_Singles/2_Living_Room_Singles/Living_Room_Singles_110.png")</f>
        <v/>
      </c>
      <c r="C110" s="15" t="s">
        <v>205</v>
      </c>
    </row>
    <row r="111" ht="36.75" customHeight="1">
      <c r="A111" s="14" t="s">
        <v>209</v>
      </c>
      <c r="B111" s="14" t="str">
        <f>IMAGE("https://lmztiles.s3.eu-west-1.amazonaws.com/Modern_Interiors_v41.3.4/1_Interiors/16x16/Theme_Sorter_Singles/2_Living_Room_Singles/Living_Room_Singles_111.png")</f>
        <v/>
      </c>
      <c r="C111" s="15" t="s">
        <v>205</v>
      </c>
    </row>
    <row r="112" ht="36.75" customHeight="1">
      <c r="A112" s="14" t="s">
        <v>210</v>
      </c>
      <c r="B112" s="14" t="str">
        <f>IMAGE("https://lmztiles.s3.eu-west-1.amazonaws.com/Modern_Interiors_v41.3.4/1_Interiors/16x16/Theme_Sorter_Singles/2_Living_Room_Singles/Living_Room_Singles_112.png")</f>
        <v/>
      </c>
      <c r="C112" s="15" t="s">
        <v>205</v>
      </c>
    </row>
    <row r="113" ht="36.75" customHeight="1">
      <c r="A113" s="14" t="s">
        <v>211</v>
      </c>
      <c r="B113" s="14" t="str">
        <f>IMAGE("https://lmztiles.s3.eu-west-1.amazonaws.com/Modern_Interiors_v41.3.4/1_Interiors/16x16/Theme_Sorter_Singles/2_Living_Room_Singles/Living_Room_Singles_113.png")</f>
        <v/>
      </c>
      <c r="C113" s="15" t="s">
        <v>205</v>
      </c>
    </row>
    <row r="114" ht="36.75" customHeight="1">
      <c r="A114" s="14" t="s">
        <v>212</v>
      </c>
      <c r="B114" s="14" t="str">
        <f>IMAGE("https://lmztiles.s3.eu-west-1.amazonaws.com/Modern_Interiors_v41.3.4/1_Interiors/16x16/Theme_Sorter_Singles/2_Living_Room_Singles/Living_Room_Singles_114.png")</f>
        <v/>
      </c>
      <c r="C114" s="15" t="s">
        <v>205</v>
      </c>
    </row>
    <row r="115" ht="36.75" customHeight="1">
      <c r="A115" s="14" t="s">
        <v>213</v>
      </c>
      <c r="B115" s="14" t="str">
        <f>IMAGE("https://lmztiles.s3.eu-west-1.amazonaws.com/Modern_Interiors_v41.3.4/1_Interiors/16x16/Theme_Sorter_Singles/2_Living_Room_Singles/Living_Room_Singles_115.png")</f>
        <v/>
      </c>
      <c r="C115" s="15" t="s">
        <v>214</v>
      </c>
    </row>
    <row r="116" ht="36.75" customHeight="1">
      <c r="A116" s="14" t="s">
        <v>215</v>
      </c>
      <c r="B116" s="14" t="str">
        <f>IMAGE("https://lmztiles.s3.eu-west-1.amazonaws.com/Modern_Interiors_v41.3.4/1_Interiors/16x16/Theme_Sorter_Singles/2_Living_Room_Singles/Living_Room_Singles_116.png")</f>
        <v/>
      </c>
      <c r="C116" s="15" t="s">
        <v>216</v>
      </c>
    </row>
    <row r="117" ht="36.75" customHeight="1">
      <c r="A117" s="14" t="s">
        <v>217</v>
      </c>
      <c r="B117" s="14" t="str">
        <f>IMAGE("https://lmztiles.s3.eu-west-1.amazonaws.com/Modern_Interiors_v41.3.4/1_Interiors/16x16/Theme_Sorter_Singles/2_Living_Room_Singles/Living_Room_Singles_117.png")</f>
        <v/>
      </c>
      <c r="C117" s="15" t="s">
        <v>218</v>
      </c>
    </row>
    <row r="118" ht="36.75" customHeight="1">
      <c r="A118" s="14" t="s">
        <v>219</v>
      </c>
      <c r="B118" s="14" t="str">
        <f>IMAGE("https://lmztiles.s3.eu-west-1.amazonaws.com/Modern_Interiors_v41.3.4/1_Interiors/16x16/Theme_Sorter_Singles/2_Living_Room_Singles/Living_Room_Singles_118.png")</f>
        <v/>
      </c>
      <c r="C118" s="15" t="s">
        <v>220</v>
      </c>
    </row>
    <row r="119" ht="36.75" customHeight="1">
      <c r="A119" s="14" t="s">
        <v>221</v>
      </c>
      <c r="B119" s="14" t="str">
        <f>IMAGE("https://lmztiles.s3.eu-west-1.amazonaws.com/Modern_Interiors_v41.3.4/1_Interiors/16x16/Theme_Sorter_Singles/2_Living_Room_Singles/Living_Room_Singles_119.png")</f>
        <v/>
      </c>
      <c r="C119" s="15" t="s">
        <v>222</v>
      </c>
    </row>
    <row r="120" ht="36.75" customHeight="1">
      <c r="A120" s="14" t="s">
        <v>223</v>
      </c>
      <c r="B120" s="14" t="str">
        <f>IMAGE("https://lmztiles.s3.eu-west-1.amazonaws.com/Modern_Interiors_v41.3.4/1_Interiors/16x16/Theme_Sorter_Singles/2_Living_Room_Singles/Living_Room_Singles_120.png")</f>
        <v/>
      </c>
      <c r="C120" s="15" t="s">
        <v>224</v>
      </c>
    </row>
    <row r="121" ht="36.75" customHeight="1">
      <c r="A121" s="14" t="s">
        <v>225</v>
      </c>
      <c r="B121" s="14" t="str">
        <f>IMAGE("https://lmztiles.s3.eu-west-1.amazonaws.com/Modern_Interiors_v41.3.4/1_Interiors/16x16/Theme_Sorter_Singles/2_Living_Room_Singles/Living_Room_Singles_121.png")</f>
        <v/>
      </c>
      <c r="C121" s="15" t="s">
        <v>226</v>
      </c>
    </row>
    <row r="122" ht="36.75" customHeight="1">
      <c r="A122" s="14" t="s">
        <v>227</v>
      </c>
      <c r="B122" s="14" t="str">
        <f>IMAGE("https://lmztiles.s3.eu-west-1.amazonaws.com/Modern_Interiors_v41.3.4/1_Interiors/16x16/Theme_Sorter_Singles/2_Living_Room_Singles/Living_Room_Singles_122.png")</f>
        <v/>
      </c>
      <c r="C122" s="15" t="s">
        <v>228</v>
      </c>
    </row>
    <row r="123" ht="36.75" customHeight="1">
      <c r="A123" s="14"/>
      <c r="B123" s="14"/>
      <c r="C123" s="14"/>
    </row>
    <row r="124" ht="36.75" customHeight="1">
      <c r="A124" s="14"/>
      <c r="B124" s="14"/>
      <c r="C124" s="14"/>
    </row>
    <row r="125" ht="36.75" customHeight="1">
      <c r="A125" s="14"/>
      <c r="B125" s="14"/>
      <c r="C125" s="14"/>
    </row>
    <row r="126" ht="36.75" customHeight="1">
      <c r="A126" s="14"/>
      <c r="B126" s="14"/>
      <c r="C126" s="14"/>
    </row>
    <row r="127" ht="36.75" customHeight="1">
      <c r="A127" s="14"/>
      <c r="B127" s="14"/>
      <c r="C127" s="14"/>
    </row>
    <row r="128" ht="36.75" customHeight="1">
      <c r="A128" s="14"/>
      <c r="B128" s="14"/>
      <c r="C128" s="14"/>
    </row>
    <row r="129" ht="36.75" customHeight="1">
      <c r="A129" s="14"/>
      <c r="B129" s="14"/>
      <c r="C129" s="14"/>
    </row>
    <row r="130" ht="36.75" customHeight="1">
      <c r="A130" s="14"/>
      <c r="B130" s="14"/>
      <c r="C130" s="14"/>
    </row>
    <row r="131" ht="36.75" customHeight="1">
      <c r="A131" s="14"/>
      <c r="B131" s="14"/>
      <c r="C131" s="14"/>
    </row>
    <row r="132" ht="36.75" customHeight="1">
      <c r="A132" s="14"/>
      <c r="B132" s="14"/>
      <c r="C132" s="14"/>
    </row>
    <row r="133" ht="36.75" customHeight="1">
      <c r="A133" s="14"/>
      <c r="B133" s="14"/>
      <c r="C133" s="14"/>
    </row>
    <row r="134" ht="36.75" customHeight="1">
      <c r="A134" s="14"/>
      <c r="B134" s="14"/>
      <c r="C134" s="14"/>
    </row>
    <row r="135" ht="36.75" customHeight="1">
      <c r="A135" s="14"/>
      <c r="B135" s="14"/>
      <c r="C135" s="14"/>
    </row>
    <row r="136" ht="36.75" customHeight="1">
      <c r="A136" s="14"/>
      <c r="B136" s="14"/>
      <c r="C136" s="14"/>
    </row>
    <row r="137" ht="36.75" customHeight="1">
      <c r="A137" s="14"/>
      <c r="B137" s="14"/>
      <c r="C137" s="14"/>
    </row>
    <row r="138" ht="36.75" customHeight="1">
      <c r="A138" s="14"/>
      <c r="B138" s="14"/>
      <c r="C138" s="14"/>
    </row>
    <row r="139" ht="36.75" customHeight="1">
      <c r="A139" s="14"/>
      <c r="B139" s="14"/>
      <c r="C139" s="14"/>
    </row>
    <row r="140" ht="36.75" customHeight="1">
      <c r="A140" s="14"/>
      <c r="B140" s="14"/>
      <c r="C140" s="14"/>
    </row>
    <row r="141" ht="36.75" customHeight="1">
      <c r="A141" s="14"/>
      <c r="B141" s="14"/>
      <c r="C141" s="14"/>
    </row>
    <row r="142" ht="36.75" customHeight="1">
      <c r="A142" s="14"/>
      <c r="B142" s="14"/>
      <c r="C142" s="14"/>
    </row>
    <row r="143" ht="36.75" customHeight="1">
      <c r="A143" s="14"/>
      <c r="B143" s="14"/>
      <c r="C143" s="14"/>
    </row>
    <row r="144" ht="36.75" customHeight="1">
      <c r="A144" s="14"/>
      <c r="B144" s="14"/>
      <c r="C144" s="14"/>
    </row>
    <row r="145" ht="36.75" customHeight="1">
      <c r="A145" s="14"/>
      <c r="B145" s="14"/>
      <c r="C145" s="14"/>
    </row>
    <row r="146" ht="36.75" customHeight="1">
      <c r="A146" s="14"/>
      <c r="B146" s="14"/>
      <c r="C146" s="14"/>
    </row>
    <row r="147" ht="36.75" customHeight="1">
      <c r="A147" s="14"/>
      <c r="B147" s="14"/>
      <c r="C147" s="14"/>
    </row>
    <row r="148" ht="36.75" customHeight="1">
      <c r="A148" s="14"/>
      <c r="B148" s="14"/>
      <c r="C148" s="14"/>
    </row>
    <row r="149" ht="36.75" customHeight="1">
      <c r="A149" s="14"/>
      <c r="B149" s="14"/>
      <c r="C149" s="14"/>
    </row>
    <row r="150" ht="36.75" customHeight="1">
      <c r="A150" s="14"/>
      <c r="B150" s="14"/>
      <c r="C150" s="14"/>
    </row>
    <row r="151" ht="36.75" customHeight="1">
      <c r="A151" s="14"/>
      <c r="B151" s="14"/>
      <c r="C151" s="14"/>
    </row>
    <row r="152" ht="36.75" customHeight="1">
      <c r="A152" s="14"/>
      <c r="B152" s="14"/>
      <c r="C152" s="14"/>
    </row>
    <row r="153" ht="36.75" customHeight="1">
      <c r="A153" s="14"/>
      <c r="B153" s="14"/>
      <c r="C153" s="14"/>
    </row>
    <row r="154" ht="36.75" customHeight="1">
      <c r="A154" s="14"/>
      <c r="B154" s="14"/>
      <c r="C154" s="14"/>
    </row>
    <row r="155" ht="36.75" customHeight="1">
      <c r="A155" s="14"/>
      <c r="B155" s="14"/>
      <c r="C155" s="14"/>
    </row>
    <row r="156" ht="36.75" customHeight="1">
      <c r="A156" s="14"/>
      <c r="B156" s="14"/>
      <c r="C156" s="14"/>
    </row>
    <row r="157" ht="36.75" customHeight="1">
      <c r="A157" s="14"/>
      <c r="B157" s="14"/>
      <c r="C157" s="14"/>
    </row>
    <row r="158" ht="36.75" customHeight="1">
      <c r="A158" s="14"/>
      <c r="B158" s="14"/>
      <c r="C158" s="14"/>
    </row>
    <row r="159" ht="36.75" customHeight="1">
      <c r="A159" s="14"/>
      <c r="B159" s="14"/>
      <c r="C159" s="14"/>
    </row>
    <row r="160" ht="36.75" customHeight="1">
      <c r="A160" s="14"/>
      <c r="B160" s="14"/>
      <c r="C160" s="14"/>
    </row>
    <row r="161" ht="36.75" customHeight="1">
      <c r="A161" s="14"/>
      <c r="B161" s="14"/>
      <c r="C161" s="14"/>
    </row>
    <row r="162" ht="36.75" customHeight="1">
      <c r="A162" s="14"/>
      <c r="B162" s="14"/>
      <c r="C162" s="14"/>
    </row>
    <row r="163" ht="36.75" customHeight="1">
      <c r="A163" s="14"/>
      <c r="B163" s="14"/>
      <c r="C163" s="14"/>
    </row>
    <row r="164" ht="36.75" customHeight="1">
      <c r="A164" s="14"/>
      <c r="B164" s="14"/>
      <c r="C164" s="14"/>
    </row>
    <row r="165" ht="36.75" customHeight="1">
      <c r="A165" s="14"/>
      <c r="B165" s="14"/>
      <c r="C165" s="14"/>
    </row>
    <row r="166" ht="36.75" customHeight="1">
      <c r="A166" s="14"/>
      <c r="B166" s="14"/>
      <c r="C166" s="14"/>
    </row>
    <row r="167" ht="36.75" customHeight="1">
      <c r="A167" s="14"/>
      <c r="B167" s="14"/>
      <c r="C167" s="14"/>
    </row>
    <row r="168" ht="36.75" customHeight="1">
      <c r="A168" s="14"/>
      <c r="B168" s="14"/>
      <c r="C168" s="14"/>
    </row>
    <row r="169" ht="36.75" customHeight="1">
      <c r="A169" s="14"/>
      <c r="B169" s="14"/>
      <c r="C169" s="14"/>
    </row>
    <row r="170" ht="36.75" customHeight="1">
      <c r="A170" s="14"/>
      <c r="B170" s="14"/>
      <c r="C170" s="14"/>
    </row>
    <row r="171" ht="36.75" customHeight="1">
      <c r="A171" s="14"/>
      <c r="B171" s="14"/>
      <c r="C171" s="14"/>
    </row>
    <row r="172" ht="36.75" customHeight="1">
      <c r="A172" s="14"/>
      <c r="B172" s="14"/>
      <c r="C172" s="14"/>
    </row>
    <row r="173" ht="36.75" customHeight="1">
      <c r="A173" s="14"/>
      <c r="B173" s="14"/>
      <c r="C173" s="14"/>
    </row>
    <row r="174" ht="36.75" customHeight="1">
      <c r="A174" s="14"/>
      <c r="B174" s="14"/>
      <c r="C174" s="14"/>
    </row>
    <row r="175" ht="36.75" customHeight="1">
      <c r="A175" s="14"/>
      <c r="B175" s="14"/>
      <c r="C175" s="14"/>
    </row>
    <row r="176" ht="36.75" customHeight="1">
      <c r="A176" s="14"/>
      <c r="B176" s="14"/>
      <c r="C176" s="14"/>
    </row>
    <row r="177" ht="36.75" customHeight="1">
      <c r="A177" s="14"/>
      <c r="B177" s="14"/>
      <c r="C177" s="14"/>
    </row>
    <row r="178" ht="36.75" customHeight="1">
      <c r="A178" s="14"/>
      <c r="B178" s="14"/>
      <c r="C178" s="14"/>
    </row>
    <row r="179" ht="36.75" customHeight="1">
      <c r="A179" s="14"/>
      <c r="B179" s="14"/>
      <c r="C179" s="14"/>
    </row>
    <row r="180" ht="36.75" customHeight="1">
      <c r="A180" s="14"/>
      <c r="B180" s="14"/>
      <c r="C180" s="14"/>
    </row>
    <row r="181" ht="36.75" customHeight="1">
      <c r="A181" s="14"/>
      <c r="B181" s="14"/>
      <c r="C181" s="14"/>
    </row>
    <row r="182" ht="36.75" customHeight="1">
      <c r="A182" s="14"/>
      <c r="B182" s="14"/>
      <c r="C182" s="14"/>
    </row>
    <row r="183" ht="36.75" customHeight="1">
      <c r="A183" s="14"/>
      <c r="B183" s="14"/>
      <c r="C183" s="14"/>
    </row>
    <row r="184" ht="36.75" customHeight="1">
      <c r="A184" s="14"/>
      <c r="B184" s="14"/>
      <c r="C184" s="14"/>
    </row>
    <row r="185" ht="36.75" customHeight="1">
      <c r="A185" s="14"/>
      <c r="B185" s="14"/>
      <c r="C185" s="14"/>
    </row>
    <row r="186" ht="36.75" customHeight="1">
      <c r="A186" s="14"/>
      <c r="B186" s="14"/>
      <c r="C186" s="14"/>
    </row>
    <row r="187" ht="36.75" customHeight="1">
      <c r="A187" s="14"/>
      <c r="B187" s="14"/>
      <c r="C187" s="14"/>
    </row>
    <row r="188" ht="36.75" customHeight="1">
      <c r="A188" s="14"/>
      <c r="B188" s="14"/>
      <c r="C188" s="14"/>
    </row>
    <row r="189" ht="36.75" customHeight="1">
      <c r="A189" s="14"/>
      <c r="B189" s="14"/>
      <c r="C189" s="14"/>
    </row>
    <row r="190" ht="36.75" customHeight="1">
      <c r="A190" s="14"/>
      <c r="B190" s="14"/>
      <c r="C190" s="14"/>
    </row>
    <row r="191" ht="36.75" customHeight="1">
      <c r="A191" s="14"/>
      <c r="B191" s="14"/>
      <c r="C191" s="14"/>
    </row>
    <row r="192" ht="36.75" customHeight="1">
      <c r="A192" s="14"/>
      <c r="B192" s="14"/>
      <c r="C192" s="14"/>
    </row>
    <row r="193" ht="36.75" customHeight="1">
      <c r="A193" s="14"/>
      <c r="B193" s="14"/>
      <c r="C193" s="14"/>
    </row>
    <row r="194" ht="36.75" customHeight="1">
      <c r="A194" s="14"/>
      <c r="B194" s="14"/>
      <c r="C194" s="14"/>
    </row>
    <row r="195" ht="36.75" customHeight="1">
      <c r="A195" s="14"/>
      <c r="B195" s="14"/>
      <c r="C195" s="14"/>
    </row>
    <row r="196" ht="36.75" customHeight="1">
      <c r="A196" s="14"/>
      <c r="B196" s="14"/>
      <c r="C196" s="14"/>
    </row>
    <row r="197" ht="36.75" customHeight="1">
      <c r="A197" s="14"/>
      <c r="B197" s="14"/>
      <c r="C197" s="14"/>
    </row>
    <row r="198" ht="36.75" customHeight="1">
      <c r="A198" s="14"/>
      <c r="B198" s="14"/>
      <c r="C198" s="14"/>
    </row>
    <row r="199" ht="36.75" customHeight="1">
      <c r="A199" s="14"/>
      <c r="B199" s="14"/>
      <c r="C199" s="14"/>
    </row>
    <row r="200" ht="36.75" customHeight="1">
      <c r="A200" s="14"/>
      <c r="B200" s="14"/>
      <c r="C200" s="14"/>
    </row>
    <row r="201" ht="36.75" customHeight="1">
      <c r="A201" s="14"/>
      <c r="B201" s="14"/>
      <c r="C201" s="14"/>
    </row>
    <row r="202" ht="36.75" customHeight="1">
      <c r="A202" s="14"/>
      <c r="B202" s="14"/>
      <c r="C202" s="14"/>
    </row>
    <row r="203" ht="36.75" customHeight="1">
      <c r="A203" s="14"/>
      <c r="B203" s="14"/>
      <c r="C203" s="14"/>
    </row>
    <row r="204" ht="36.75" customHeight="1">
      <c r="A204" s="14"/>
      <c r="B204" s="14"/>
      <c r="C204" s="14"/>
    </row>
    <row r="205" ht="36.75" customHeight="1">
      <c r="A205" s="14"/>
      <c r="B205" s="14"/>
      <c r="C205" s="14"/>
    </row>
    <row r="206" ht="36.75" customHeight="1">
      <c r="A206" s="14"/>
      <c r="B206" s="14"/>
      <c r="C206" s="14"/>
    </row>
    <row r="207" ht="36.75" customHeight="1">
      <c r="A207" s="14"/>
      <c r="B207" s="14"/>
      <c r="C207" s="14"/>
    </row>
    <row r="208" ht="36.75" customHeight="1">
      <c r="A208" s="14"/>
      <c r="B208" s="14"/>
      <c r="C208" s="14"/>
    </row>
    <row r="209" ht="36.75" customHeight="1">
      <c r="A209" s="14"/>
      <c r="B209" s="14"/>
      <c r="C209" s="14"/>
    </row>
    <row r="210" ht="36.75" customHeight="1">
      <c r="A210" s="14"/>
      <c r="B210" s="14"/>
      <c r="C210" s="14"/>
    </row>
    <row r="211" ht="36.75" customHeight="1">
      <c r="A211" s="14"/>
      <c r="B211" s="14"/>
      <c r="C211" s="14"/>
    </row>
    <row r="212" ht="36.75" customHeight="1">
      <c r="A212" s="14"/>
      <c r="B212" s="14"/>
      <c r="C212" s="14"/>
    </row>
    <row r="213" ht="36.75" customHeight="1">
      <c r="A213" s="14"/>
      <c r="B213" s="14"/>
      <c r="C213" s="14"/>
    </row>
    <row r="214" ht="36.75" customHeight="1">
      <c r="A214" s="14"/>
      <c r="B214" s="14"/>
      <c r="C214" s="14"/>
    </row>
    <row r="215" ht="36.75" customHeight="1">
      <c r="A215" s="14"/>
      <c r="B215" s="14"/>
      <c r="C215" s="14"/>
    </row>
    <row r="216" ht="36.75" customHeight="1">
      <c r="A216" s="14"/>
      <c r="B216" s="14"/>
      <c r="C216" s="14"/>
    </row>
    <row r="217" ht="36.75" customHeight="1">
      <c r="A217" s="14"/>
      <c r="B217" s="14"/>
      <c r="C217" s="14"/>
    </row>
    <row r="218" ht="36.75" customHeight="1">
      <c r="A218" s="14"/>
      <c r="B218" s="14"/>
      <c r="C218" s="14"/>
    </row>
    <row r="219" ht="36.75" customHeight="1">
      <c r="A219" s="14"/>
      <c r="B219" s="14"/>
      <c r="C219" s="14"/>
    </row>
    <row r="220" ht="36.75" customHeight="1">
      <c r="A220" s="14"/>
      <c r="B220" s="14"/>
      <c r="C220" s="14"/>
    </row>
    <row r="221" ht="36.75" customHeight="1">
      <c r="A221" s="14"/>
      <c r="B221" s="14"/>
      <c r="C221" s="14"/>
    </row>
    <row r="222" ht="36.75" customHeight="1">
      <c r="A222" s="14"/>
      <c r="B222" s="14"/>
      <c r="C222" s="14"/>
    </row>
    <row r="223" ht="36.75" customHeight="1">
      <c r="A223" s="14"/>
      <c r="B223" s="14"/>
      <c r="C223" s="14"/>
    </row>
    <row r="224" ht="36.75" customHeight="1">
      <c r="A224" s="14"/>
      <c r="B224" s="14"/>
      <c r="C224" s="14"/>
    </row>
    <row r="225" ht="36.75" customHeight="1">
      <c r="A225" s="14"/>
      <c r="B225" s="14"/>
      <c r="C225" s="14"/>
    </row>
    <row r="226" ht="36.75" customHeight="1">
      <c r="A226" s="14"/>
      <c r="B226" s="14"/>
      <c r="C226" s="14"/>
    </row>
    <row r="227" ht="36.75" customHeight="1">
      <c r="A227" s="14"/>
      <c r="B227" s="14"/>
      <c r="C227" s="14"/>
    </row>
    <row r="228" ht="36.75" customHeight="1">
      <c r="A228" s="14"/>
      <c r="B228" s="14"/>
      <c r="C228" s="14"/>
    </row>
    <row r="229" ht="36.75" customHeight="1">
      <c r="A229" s="14"/>
      <c r="B229" s="14"/>
      <c r="C229" s="14"/>
    </row>
    <row r="230" ht="36.75" customHeight="1">
      <c r="A230" s="14"/>
      <c r="B230" s="14"/>
      <c r="C230" s="14"/>
    </row>
    <row r="231" ht="36.75" customHeight="1">
      <c r="A231" s="14"/>
      <c r="B231" s="14"/>
      <c r="C231" s="14"/>
    </row>
    <row r="232" ht="36.75" customHeight="1">
      <c r="A232" s="14"/>
      <c r="B232" s="14"/>
      <c r="C232" s="14"/>
    </row>
    <row r="233" ht="36.75" customHeight="1">
      <c r="A233" s="14"/>
      <c r="B233" s="14"/>
      <c r="C233" s="14"/>
    </row>
    <row r="234" ht="36.75" customHeight="1">
      <c r="A234" s="14"/>
      <c r="B234" s="14"/>
      <c r="C234" s="14"/>
    </row>
    <row r="235" ht="36.75" customHeight="1">
      <c r="A235" s="14"/>
      <c r="B235" s="14"/>
      <c r="C235" s="14"/>
    </row>
    <row r="236" ht="36.75" customHeight="1">
      <c r="A236" s="14"/>
      <c r="B236" s="14"/>
      <c r="C236" s="14"/>
    </row>
    <row r="237" ht="36.75" customHeight="1">
      <c r="A237" s="14"/>
      <c r="B237" s="14"/>
      <c r="C237" s="14"/>
    </row>
    <row r="238" ht="36.75" customHeight="1">
      <c r="A238" s="14"/>
      <c r="B238" s="14"/>
      <c r="C238" s="14"/>
    </row>
    <row r="239" ht="36.75" customHeight="1">
      <c r="A239" s="14"/>
      <c r="B239" s="14"/>
      <c r="C239" s="14"/>
    </row>
    <row r="240" ht="36.75" customHeight="1">
      <c r="A240" s="14"/>
      <c r="B240" s="14"/>
      <c r="C240" s="14"/>
    </row>
    <row r="241" ht="36.75" customHeight="1">
      <c r="A241" s="14"/>
      <c r="B241" s="14"/>
      <c r="C241" s="14"/>
    </row>
    <row r="242" ht="36.75" customHeight="1">
      <c r="A242" s="14"/>
      <c r="B242" s="14"/>
      <c r="C242" s="14"/>
    </row>
    <row r="243" ht="36.75" customHeight="1">
      <c r="A243" s="14"/>
      <c r="B243" s="14"/>
      <c r="C243" s="14"/>
    </row>
    <row r="244" ht="36.75" customHeight="1">
      <c r="A244" s="14"/>
      <c r="B244" s="14"/>
      <c r="C244" s="14"/>
    </row>
    <row r="245" ht="36.75" customHeight="1">
      <c r="A245" s="14"/>
      <c r="B245" s="14"/>
      <c r="C245" s="14"/>
    </row>
    <row r="246" ht="36.75" customHeight="1">
      <c r="A246" s="14"/>
      <c r="B246" s="14"/>
      <c r="C246" s="14"/>
    </row>
    <row r="247" ht="36.75" customHeight="1">
      <c r="A247" s="14"/>
      <c r="B247" s="14"/>
      <c r="C247" s="14"/>
    </row>
    <row r="248" ht="36.75" customHeight="1">
      <c r="A248" s="14"/>
      <c r="B248" s="14"/>
      <c r="C248" s="14"/>
    </row>
    <row r="249" ht="36.75" customHeight="1">
      <c r="A249" s="14"/>
      <c r="B249" s="14"/>
      <c r="C249" s="14"/>
    </row>
    <row r="250" ht="36.75" customHeight="1">
      <c r="A250" s="14"/>
      <c r="B250" s="14"/>
      <c r="C250" s="14"/>
    </row>
    <row r="251" ht="36.75" customHeight="1">
      <c r="A251" s="14"/>
      <c r="B251" s="14"/>
      <c r="C251" s="14"/>
    </row>
    <row r="252" ht="36.75" customHeight="1">
      <c r="A252" s="14"/>
      <c r="B252" s="14"/>
      <c r="C252" s="14"/>
    </row>
    <row r="253" ht="36.75" customHeight="1">
      <c r="A253" s="14"/>
      <c r="B253" s="14"/>
      <c r="C253" s="14"/>
    </row>
    <row r="254" ht="36.75" customHeight="1">
      <c r="A254" s="14"/>
      <c r="B254" s="14"/>
      <c r="C254" s="14"/>
    </row>
    <row r="255" ht="36.75" customHeight="1">
      <c r="A255" s="14"/>
      <c r="B255" s="14"/>
      <c r="C255" s="14"/>
    </row>
    <row r="256" ht="36.75" customHeight="1">
      <c r="A256" s="14"/>
      <c r="B256" s="14"/>
      <c r="C256" s="14"/>
    </row>
    <row r="257" ht="36.75" customHeight="1">
      <c r="A257" s="14"/>
      <c r="B257" s="14"/>
      <c r="C257" s="14"/>
    </row>
    <row r="258" ht="36.75" customHeight="1">
      <c r="A258" s="14"/>
      <c r="B258" s="14"/>
      <c r="C258" s="14"/>
    </row>
    <row r="259" ht="36.75" customHeight="1">
      <c r="A259" s="14"/>
      <c r="B259" s="14"/>
      <c r="C259" s="14"/>
    </row>
    <row r="260" ht="36.75" customHeight="1">
      <c r="A260" s="14"/>
      <c r="B260" s="14"/>
      <c r="C260" s="14"/>
    </row>
    <row r="261" ht="36.75" customHeight="1">
      <c r="A261" s="14"/>
      <c r="B261" s="14"/>
      <c r="C261" s="14"/>
    </row>
    <row r="262" ht="36.75" customHeight="1">
      <c r="A262" s="14"/>
      <c r="B262" s="14"/>
      <c r="C262" s="14"/>
    </row>
    <row r="263" ht="36.75" customHeight="1">
      <c r="A263" s="14"/>
      <c r="B263" s="14"/>
      <c r="C263" s="14"/>
    </row>
    <row r="264" ht="36.75" customHeight="1">
      <c r="A264" s="14"/>
      <c r="B264" s="14"/>
      <c r="C264" s="14"/>
    </row>
    <row r="265" ht="36.75" customHeight="1">
      <c r="A265" s="14"/>
      <c r="B265" s="14"/>
      <c r="C265" s="14"/>
    </row>
    <row r="266" ht="36.75" customHeight="1">
      <c r="A266" s="14"/>
      <c r="B266" s="14"/>
      <c r="C266" s="14"/>
    </row>
    <row r="267" ht="36.75" customHeight="1">
      <c r="A267" s="14"/>
      <c r="B267" s="14"/>
      <c r="C267" s="14"/>
    </row>
    <row r="268" ht="36.75" customHeight="1">
      <c r="A268" s="14"/>
      <c r="B268" s="14"/>
      <c r="C268" s="14"/>
    </row>
    <row r="269" ht="36.75" customHeight="1">
      <c r="A269" s="14"/>
      <c r="B269" s="14"/>
      <c r="C269" s="14"/>
    </row>
    <row r="270" ht="36.75" customHeight="1">
      <c r="A270" s="14"/>
      <c r="B270" s="14"/>
      <c r="C270" s="14"/>
    </row>
    <row r="271" ht="36.75" customHeight="1">
      <c r="A271" s="14"/>
      <c r="B271" s="14"/>
      <c r="C271" s="14"/>
    </row>
    <row r="272" ht="36.75" customHeight="1">
      <c r="A272" s="14"/>
      <c r="B272" s="14"/>
      <c r="C272" s="14"/>
    </row>
    <row r="273" ht="36.75" customHeight="1">
      <c r="A273" s="14"/>
      <c r="B273" s="14"/>
      <c r="C273" s="14"/>
    </row>
    <row r="274" ht="36.75" customHeight="1">
      <c r="A274" s="14"/>
      <c r="B274" s="14"/>
      <c r="C274" s="14"/>
    </row>
    <row r="275" ht="36.75" customHeight="1">
      <c r="A275" s="14"/>
      <c r="B275" s="14"/>
      <c r="C275" s="14"/>
    </row>
    <row r="276" ht="36.75" customHeight="1">
      <c r="A276" s="14"/>
      <c r="B276" s="14"/>
      <c r="C276" s="14"/>
    </row>
    <row r="277" ht="36.75" customHeight="1">
      <c r="A277" s="14"/>
      <c r="B277" s="14"/>
      <c r="C277" s="14"/>
    </row>
    <row r="278" ht="36.75" customHeight="1">
      <c r="A278" s="14"/>
      <c r="B278" s="14"/>
      <c r="C278" s="14"/>
    </row>
    <row r="279" ht="36.75" customHeight="1">
      <c r="A279" s="14"/>
      <c r="B279" s="14"/>
      <c r="C279" s="14"/>
    </row>
    <row r="280" ht="36.75" customHeight="1">
      <c r="A280" s="14"/>
      <c r="B280" s="14"/>
      <c r="C280" s="14"/>
    </row>
    <row r="281" ht="36.75" customHeight="1">
      <c r="A281" s="14"/>
      <c r="B281" s="14"/>
      <c r="C281" s="14"/>
    </row>
    <row r="282" ht="36.75" customHeight="1">
      <c r="A282" s="14"/>
      <c r="B282" s="14"/>
      <c r="C282" s="14"/>
    </row>
    <row r="283" ht="36.75" customHeight="1">
      <c r="A283" s="14"/>
      <c r="B283" s="14"/>
      <c r="C283" s="14"/>
    </row>
    <row r="284" ht="36.75" customHeight="1">
      <c r="A284" s="14"/>
      <c r="B284" s="14"/>
      <c r="C284" s="14"/>
    </row>
    <row r="285" ht="36.75" customHeight="1">
      <c r="A285" s="14"/>
      <c r="B285" s="14"/>
      <c r="C285" s="14"/>
    </row>
    <row r="286" ht="36.75" customHeight="1">
      <c r="A286" s="14"/>
      <c r="B286" s="14"/>
      <c r="C286" s="14"/>
    </row>
    <row r="287" ht="36.75" customHeight="1">
      <c r="A287" s="14"/>
      <c r="B287" s="14"/>
      <c r="C287" s="14"/>
    </row>
    <row r="288" ht="36.75" customHeight="1">
      <c r="A288" s="14"/>
      <c r="B288" s="14"/>
      <c r="C288" s="14"/>
    </row>
    <row r="289" ht="36.75" customHeight="1">
      <c r="A289" s="14"/>
      <c r="B289" s="14"/>
      <c r="C289" s="14"/>
    </row>
    <row r="290" ht="36.75" customHeight="1">
      <c r="A290" s="14"/>
      <c r="B290" s="14"/>
      <c r="C290" s="14"/>
    </row>
    <row r="291" ht="36.75" customHeight="1">
      <c r="A291" s="14"/>
      <c r="B291" s="14"/>
      <c r="C291" s="14"/>
    </row>
    <row r="292" ht="36.75" customHeight="1">
      <c r="A292" s="14"/>
      <c r="B292" s="14"/>
      <c r="C292" s="14"/>
    </row>
    <row r="293" ht="36.75" customHeight="1">
      <c r="A293" s="14"/>
      <c r="B293" s="14"/>
      <c r="C293" s="14"/>
    </row>
    <row r="294" ht="36.75" customHeight="1">
      <c r="A294" s="14"/>
      <c r="B294" s="14"/>
      <c r="C294" s="14"/>
    </row>
    <row r="295" ht="36.75" customHeight="1">
      <c r="A295" s="14"/>
      <c r="B295" s="14"/>
      <c r="C295" s="14"/>
    </row>
    <row r="296" ht="36.75" customHeight="1">
      <c r="A296" s="14"/>
      <c r="B296" s="14"/>
      <c r="C296" s="14"/>
    </row>
    <row r="297" ht="36.75" customHeight="1">
      <c r="A297" s="14"/>
      <c r="B297" s="14"/>
      <c r="C297" s="14"/>
    </row>
    <row r="298" ht="36.75" customHeight="1">
      <c r="A298" s="14"/>
      <c r="B298" s="14"/>
      <c r="C298" s="14"/>
    </row>
    <row r="299" ht="36.75" customHeight="1">
      <c r="A299" s="14"/>
      <c r="B299" s="14"/>
      <c r="C299" s="14"/>
    </row>
    <row r="300" ht="36.75" customHeight="1">
      <c r="A300" s="14"/>
      <c r="B300" s="14"/>
      <c r="C300" s="14"/>
    </row>
    <row r="301" ht="36.75" customHeight="1">
      <c r="A301" s="14"/>
      <c r="B301" s="14"/>
      <c r="C301" s="14"/>
    </row>
    <row r="302" ht="36.75" customHeight="1">
      <c r="A302" s="14"/>
      <c r="B302" s="14"/>
      <c r="C302" s="14"/>
    </row>
    <row r="303" ht="36.75" customHeight="1">
      <c r="A303" s="14"/>
      <c r="B303" s="14"/>
      <c r="C303" s="14"/>
    </row>
    <row r="304" ht="36.75" customHeight="1">
      <c r="A304" s="14"/>
      <c r="B304" s="14"/>
      <c r="C304" s="14"/>
    </row>
    <row r="305" ht="36.75" customHeight="1">
      <c r="A305" s="14"/>
      <c r="B305" s="14"/>
      <c r="C305" s="14"/>
    </row>
    <row r="306" ht="36.75" customHeight="1">
      <c r="A306" s="14"/>
      <c r="B306" s="14"/>
      <c r="C306" s="14"/>
    </row>
    <row r="307" ht="36.75" customHeight="1">
      <c r="A307" s="14"/>
      <c r="B307" s="14"/>
      <c r="C307" s="14"/>
    </row>
    <row r="308" ht="36.75" customHeight="1">
      <c r="A308" s="14"/>
      <c r="B308" s="14"/>
      <c r="C308" s="14"/>
    </row>
    <row r="309" ht="36.75" customHeight="1">
      <c r="A309" s="14"/>
      <c r="B309" s="14"/>
      <c r="C309" s="14"/>
    </row>
    <row r="310" ht="36.75" customHeight="1">
      <c r="A310" s="14"/>
      <c r="B310" s="14"/>
      <c r="C310" s="14"/>
    </row>
    <row r="311" ht="36.75" customHeight="1">
      <c r="A311" s="14"/>
      <c r="B311" s="14"/>
      <c r="C311" s="14"/>
    </row>
    <row r="312" ht="36.75" customHeight="1">
      <c r="A312" s="14"/>
      <c r="B312" s="14"/>
      <c r="C312" s="14"/>
    </row>
    <row r="313" ht="36.75" customHeight="1">
      <c r="A313" s="14"/>
      <c r="B313" s="14"/>
      <c r="C313" s="14"/>
    </row>
    <row r="314" ht="36.75" customHeight="1">
      <c r="A314" s="14"/>
      <c r="B314" s="14"/>
      <c r="C314" s="14"/>
    </row>
    <row r="315" ht="36.75" customHeight="1">
      <c r="A315" s="14"/>
      <c r="B315" s="14"/>
      <c r="C315" s="14"/>
    </row>
    <row r="316" ht="36.75" customHeight="1">
      <c r="A316" s="14"/>
      <c r="B316" s="14"/>
      <c r="C316" s="14"/>
    </row>
    <row r="317" ht="36.75" customHeight="1">
      <c r="A317" s="14"/>
      <c r="B317" s="14"/>
      <c r="C317" s="14"/>
    </row>
    <row r="318" ht="36.75" customHeight="1">
      <c r="A318" s="14"/>
      <c r="B318" s="14"/>
      <c r="C318" s="14"/>
    </row>
    <row r="319" ht="36.75" customHeight="1">
      <c r="A319" s="14"/>
      <c r="B319" s="14"/>
      <c r="C319" s="14"/>
    </row>
    <row r="320" ht="36.75" customHeight="1">
      <c r="A320" s="14"/>
      <c r="B320" s="14"/>
      <c r="C320" s="14"/>
    </row>
    <row r="321" ht="36.75" customHeight="1">
      <c r="A321" s="14"/>
      <c r="B321" s="14"/>
      <c r="C321" s="14"/>
    </row>
    <row r="322" ht="36.75" customHeight="1">
      <c r="A322" s="14"/>
      <c r="B322" s="14"/>
      <c r="C322" s="14"/>
    </row>
    <row r="323" ht="36.75" customHeight="1">
      <c r="A323" s="14"/>
      <c r="B323" s="14"/>
      <c r="C323" s="14"/>
    </row>
    <row r="324" ht="36.75" customHeight="1">
      <c r="A324" s="14"/>
      <c r="B324" s="14"/>
      <c r="C324" s="14"/>
    </row>
    <row r="325" ht="36.75" customHeight="1">
      <c r="A325" s="14"/>
      <c r="B325" s="14"/>
      <c r="C325" s="14"/>
    </row>
    <row r="326" ht="36.75" customHeight="1">
      <c r="A326" s="14"/>
      <c r="B326" s="14"/>
      <c r="C326" s="14"/>
    </row>
    <row r="327" ht="36.75" customHeight="1">
      <c r="A327" s="14"/>
      <c r="B327" s="14"/>
      <c r="C327" s="14"/>
    </row>
    <row r="328" ht="36.75" customHeight="1">
      <c r="A328" s="14"/>
      <c r="B328" s="14"/>
      <c r="C328" s="14"/>
    </row>
    <row r="329" ht="36.75" customHeight="1">
      <c r="A329" s="14"/>
      <c r="B329" s="14"/>
      <c r="C329" s="14"/>
    </row>
    <row r="330" ht="36.75" customHeight="1">
      <c r="A330" s="14"/>
      <c r="B330" s="14"/>
      <c r="C330" s="14"/>
    </row>
    <row r="331" ht="36.75" customHeight="1">
      <c r="A331" s="14"/>
      <c r="B331" s="14"/>
      <c r="C331" s="14"/>
    </row>
    <row r="332" ht="36.75" customHeight="1">
      <c r="A332" s="14"/>
      <c r="B332" s="14"/>
      <c r="C332" s="14"/>
    </row>
    <row r="333" ht="36.75" customHeight="1">
      <c r="A333" s="14"/>
      <c r="B333" s="14"/>
      <c r="C333" s="14"/>
    </row>
    <row r="334" ht="36.75" customHeight="1">
      <c r="A334" s="14"/>
      <c r="B334" s="14"/>
      <c r="C334" s="14"/>
    </row>
    <row r="335" ht="36.75" customHeight="1">
      <c r="A335" s="14"/>
      <c r="B335" s="14"/>
      <c r="C335" s="14"/>
    </row>
    <row r="336" ht="36.75" customHeight="1">
      <c r="A336" s="14"/>
      <c r="B336" s="14"/>
      <c r="C336" s="14"/>
    </row>
    <row r="337" ht="36.75" customHeight="1">
      <c r="A337" s="14"/>
      <c r="B337" s="14"/>
      <c r="C337" s="14"/>
    </row>
    <row r="338" ht="36.75" customHeight="1">
      <c r="A338" s="14"/>
      <c r="B338" s="14"/>
      <c r="C338" s="14"/>
    </row>
    <row r="339" ht="36.75" customHeight="1">
      <c r="A339" s="14"/>
      <c r="B339" s="14"/>
      <c r="C339" s="14"/>
    </row>
    <row r="340" ht="36.75" customHeight="1">
      <c r="A340" s="14"/>
      <c r="B340" s="14"/>
      <c r="C340" s="14"/>
    </row>
    <row r="341" ht="36.75" customHeight="1">
      <c r="A341" s="14"/>
      <c r="B341" s="14"/>
      <c r="C341" s="14"/>
    </row>
    <row r="342" ht="36.75" customHeight="1">
      <c r="A342" s="14"/>
      <c r="B342" s="14"/>
      <c r="C342" s="14"/>
    </row>
    <row r="343" ht="36.75" customHeight="1">
      <c r="A343" s="14"/>
      <c r="B343" s="14"/>
      <c r="C343" s="14"/>
    </row>
    <row r="344" ht="36.75" customHeight="1">
      <c r="A344" s="14"/>
      <c r="B344" s="14"/>
      <c r="C344" s="14"/>
    </row>
    <row r="345" ht="36.75" customHeight="1">
      <c r="A345" s="14"/>
      <c r="B345" s="14"/>
      <c r="C345" s="14"/>
    </row>
    <row r="346" ht="36.75" customHeight="1">
      <c r="A346" s="14"/>
      <c r="B346" s="14"/>
      <c r="C346" s="14"/>
    </row>
    <row r="347" ht="36.75" customHeight="1">
      <c r="A347" s="14"/>
      <c r="B347" s="14"/>
      <c r="C347" s="14"/>
    </row>
    <row r="348" ht="36.75" customHeight="1">
      <c r="A348" s="14"/>
      <c r="B348" s="14"/>
      <c r="C348" s="14"/>
    </row>
    <row r="349" ht="36.75" customHeight="1">
      <c r="A349" s="14"/>
      <c r="B349" s="14"/>
      <c r="C349" s="14"/>
    </row>
    <row r="350" ht="36.75" customHeight="1">
      <c r="A350" s="14"/>
      <c r="B350" s="14"/>
      <c r="C350" s="14"/>
    </row>
    <row r="351" ht="36.75" customHeight="1">
      <c r="A351" s="14"/>
      <c r="B351" s="14"/>
      <c r="C351" s="14"/>
    </row>
    <row r="352" ht="36.75" customHeight="1">
      <c r="A352" s="14"/>
      <c r="B352" s="14"/>
      <c r="C352" s="14"/>
    </row>
    <row r="353" ht="36.75" customHeight="1">
      <c r="A353" s="14"/>
      <c r="B353" s="14"/>
      <c r="C353" s="14"/>
    </row>
    <row r="354" ht="36.75" customHeight="1">
      <c r="A354" s="14"/>
      <c r="B354" s="14"/>
      <c r="C354" s="14"/>
    </row>
    <row r="355" ht="36.75" customHeight="1">
      <c r="A355" s="14"/>
      <c r="B355" s="14"/>
      <c r="C355" s="14"/>
    </row>
    <row r="356" ht="36.75" customHeight="1">
      <c r="A356" s="14"/>
      <c r="B356" s="14"/>
      <c r="C356" s="14"/>
    </row>
    <row r="357" ht="36.75" customHeight="1">
      <c r="A357" s="14"/>
      <c r="B357" s="14"/>
      <c r="C357" s="14"/>
    </row>
    <row r="358" ht="36.75" customHeight="1">
      <c r="A358" s="14"/>
      <c r="B358" s="14"/>
      <c r="C358" s="14"/>
    </row>
    <row r="359" ht="36.75" customHeight="1">
      <c r="A359" s="14"/>
      <c r="B359" s="14"/>
      <c r="C359" s="14"/>
    </row>
    <row r="360" ht="36.75" customHeight="1">
      <c r="A360" s="14"/>
      <c r="B360" s="14"/>
      <c r="C360" s="14"/>
    </row>
    <row r="361" ht="36.75" customHeight="1">
      <c r="A361" s="14"/>
      <c r="B361" s="14"/>
      <c r="C361" s="14"/>
    </row>
    <row r="362" ht="36.75" customHeight="1">
      <c r="A362" s="14"/>
      <c r="B362" s="14"/>
      <c r="C362" s="14"/>
    </row>
    <row r="363" ht="36.75" customHeight="1">
      <c r="A363" s="14"/>
      <c r="B363" s="14"/>
      <c r="C363" s="14"/>
    </row>
    <row r="364" ht="36.75" customHeight="1">
      <c r="A364" s="14"/>
      <c r="B364" s="14"/>
      <c r="C364" s="14"/>
    </row>
    <row r="365" ht="36.75" customHeight="1">
      <c r="A365" s="14"/>
      <c r="B365" s="14"/>
      <c r="C365" s="14"/>
    </row>
    <row r="366" ht="36.75" customHeight="1">
      <c r="A366" s="14"/>
      <c r="B366" s="14"/>
      <c r="C366" s="14"/>
    </row>
    <row r="367" ht="36.75" customHeight="1">
      <c r="A367" s="14"/>
      <c r="B367" s="14"/>
      <c r="C367" s="14"/>
    </row>
    <row r="368" ht="36.75" customHeight="1">
      <c r="A368" s="14"/>
      <c r="B368" s="14"/>
      <c r="C368" s="14"/>
    </row>
    <row r="369" ht="36.75" customHeight="1">
      <c r="A369" s="14"/>
      <c r="B369" s="14"/>
      <c r="C369" s="14"/>
    </row>
    <row r="370" ht="36.75" customHeight="1">
      <c r="A370" s="14"/>
      <c r="B370" s="14"/>
      <c r="C370" s="14"/>
    </row>
    <row r="371" ht="36.75" customHeight="1">
      <c r="A371" s="14"/>
      <c r="B371" s="14"/>
      <c r="C371" s="14"/>
    </row>
    <row r="372" ht="36.75" customHeight="1">
      <c r="A372" s="14"/>
      <c r="B372" s="14"/>
      <c r="C372" s="14"/>
    </row>
    <row r="373" ht="36.75" customHeight="1">
      <c r="A373" s="14"/>
      <c r="B373" s="14"/>
      <c r="C373" s="14"/>
    </row>
    <row r="374" ht="36.75" customHeight="1">
      <c r="A374" s="14"/>
      <c r="B374" s="14"/>
      <c r="C374" s="14"/>
    </row>
    <row r="375" ht="36.75" customHeight="1">
      <c r="A375" s="14"/>
      <c r="B375" s="14"/>
      <c r="C375" s="14"/>
    </row>
    <row r="376" ht="36.75" customHeight="1">
      <c r="A376" s="14"/>
      <c r="B376" s="14"/>
      <c r="C376" s="14"/>
    </row>
    <row r="377" ht="36.75" customHeight="1">
      <c r="A377" s="14"/>
      <c r="B377" s="14"/>
      <c r="C377" s="14"/>
    </row>
    <row r="378" ht="36.75" customHeight="1">
      <c r="A378" s="14"/>
      <c r="B378" s="14"/>
      <c r="C378" s="14"/>
    </row>
    <row r="379" ht="36.75" customHeight="1">
      <c r="A379" s="14"/>
      <c r="B379" s="14"/>
      <c r="C379" s="14"/>
    </row>
    <row r="380" ht="36.75" customHeight="1">
      <c r="A380" s="14"/>
      <c r="B380" s="14"/>
      <c r="C380" s="14"/>
    </row>
    <row r="381" ht="36.75" customHeight="1">
      <c r="A381" s="14"/>
      <c r="B381" s="14"/>
      <c r="C381" s="14"/>
    </row>
    <row r="382" ht="36.75" customHeight="1">
      <c r="A382" s="14"/>
      <c r="B382" s="14"/>
      <c r="C382" s="14"/>
    </row>
    <row r="383" ht="36.75" customHeight="1">
      <c r="A383" s="14"/>
      <c r="B383" s="14"/>
      <c r="C383" s="14"/>
    </row>
    <row r="384" ht="36.75" customHeight="1">
      <c r="A384" s="14"/>
      <c r="B384" s="14"/>
      <c r="C384" s="14"/>
    </row>
    <row r="385" ht="36.75" customHeight="1">
      <c r="A385" s="14"/>
      <c r="B385" s="14"/>
      <c r="C385" s="14"/>
    </row>
    <row r="386" ht="36.75" customHeight="1">
      <c r="A386" s="14"/>
      <c r="B386" s="14"/>
      <c r="C386" s="14"/>
    </row>
    <row r="387" ht="36.75" customHeight="1">
      <c r="A387" s="14"/>
      <c r="B387" s="14"/>
      <c r="C387" s="14"/>
    </row>
    <row r="388" ht="36.75" customHeight="1">
      <c r="A388" s="14"/>
      <c r="B388" s="14"/>
      <c r="C388" s="14"/>
    </row>
    <row r="389" ht="36.75" customHeight="1">
      <c r="A389" s="14"/>
      <c r="B389" s="14"/>
      <c r="C389" s="14"/>
    </row>
    <row r="390" ht="36.75" customHeight="1">
      <c r="A390" s="14"/>
      <c r="B390" s="14"/>
      <c r="C390" s="14"/>
    </row>
    <row r="391" ht="36.75" customHeight="1">
      <c r="A391" s="14"/>
      <c r="B391" s="14"/>
      <c r="C391" s="14"/>
    </row>
    <row r="392" ht="36.75" customHeight="1">
      <c r="A392" s="14"/>
      <c r="B392" s="14"/>
      <c r="C392" s="14"/>
    </row>
    <row r="393" ht="36.75" customHeight="1">
      <c r="A393" s="14"/>
      <c r="B393" s="14"/>
      <c r="C393" s="14"/>
    </row>
    <row r="394" ht="36.75" customHeight="1">
      <c r="A394" s="14"/>
      <c r="B394" s="14"/>
      <c r="C394" s="14"/>
    </row>
    <row r="395" ht="36.75" customHeight="1">
      <c r="A395" s="14"/>
      <c r="B395" s="14"/>
      <c r="C395" s="14"/>
    </row>
    <row r="396" ht="36.75" customHeight="1">
      <c r="A396" s="14"/>
      <c r="B396" s="14"/>
      <c r="C396" s="14"/>
    </row>
    <row r="397" ht="36.75" customHeight="1">
      <c r="A397" s="14"/>
      <c r="B397" s="14"/>
      <c r="C397" s="14"/>
    </row>
    <row r="398" ht="36.75" customHeight="1">
      <c r="A398" s="14"/>
      <c r="B398" s="14"/>
      <c r="C398" s="14"/>
    </row>
    <row r="399" ht="36.75" customHeight="1">
      <c r="A399" s="14"/>
      <c r="B399" s="14"/>
      <c r="C399" s="14"/>
    </row>
    <row r="400" ht="36.75" customHeight="1">
      <c r="A400" s="14"/>
      <c r="B400" s="14"/>
      <c r="C400" s="14"/>
    </row>
    <row r="401" ht="36.75" customHeight="1">
      <c r="A401" s="14"/>
      <c r="B401" s="14"/>
      <c r="C401" s="14"/>
    </row>
    <row r="402" ht="36.75" customHeight="1">
      <c r="A402" s="14"/>
      <c r="B402" s="14"/>
      <c r="C402" s="14"/>
    </row>
    <row r="403" ht="36.75" customHeight="1">
      <c r="A403" s="14"/>
      <c r="B403" s="14"/>
      <c r="C403" s="14"/>
    </row>
    <row r="404" ht="36.75" customHeight="1">
      <c r="A404" s="14"/>
      <c r="B404" s="14"/>
      <c r="C404" s="14"/>
    </row>
    <row r="405" ht="36.75" customHeight="1">
      <c r="A405" s="14"/>
      <c r="B405" s="14"/>
      <c r="C405" s="14"/>
    </row>
    <row r="406" ht="36.75" customHeight="1">
      <c r="A406" s="14"/>
      <c r="B406" s="14"/>
      <c r="C406" s="14"/>
    </row>
    <row r="407" ht="36.75" customHeight="1">
      <c r="A407" s="14"/>
      <c r="B407" s="14"/>
      <c r="C407" s="14"/>
    </row>
    <row r="408" ht="36.75" customHeight="1">
      <c r="A408" s="14"/>
      <c r="B408" s="14"/>
      <c r="C408" s="14"/>
    </row>
    <row r="409" ht="36.75" customHeight="1">
      <c r="A409" s="14"/>
      <c r="B409" s="14"/>
      <c r="C409" s="14"/>
    </row>
    <row r="410" ht="36.75" customHeight="1">
      <c r="A410" s="14"/>
      <c r="B410" s="14"/>
      <c r="C410" s="14"/>
    </row>
    <row r="411" ht="36.75" customHeight="1">
      <c r="A411" s="14"/>
      <c r="B411" s="14"/>
      <c r="C411" s="14"/>
    </row>
    <row r="412" ht="36.75" customHeight="1">
      <c r="A412" s="14"/>
      <c r="B412" s="14"/>
      <c r="C412" s="14"/>
    </row>
    <row r="413" ht="36.75" customHeight="1">
      <c r="A413" s="14"/>
      <c r="B413" s="14"/>
      <c r="C413" s="14"/>
    </row>
    <row r="414" ht="36.75" customHeight="1">
      <c r="A414" s="14"/>
      <c r="B414" s="14"/>
      <c r="C414" s="14"/>
    </row>
    <row r="415" ht="36.75" customHeight="1">
      <c r="A415" s="14"/>
      <c r="B415" s="14"/>
      <c r="C415" s="14"/>
    </row>
    <row r="416" ht="36.75" customHeight="1">
      <c r="A416" s="14"/>
      <c r="B416" s="14"/>
      <c r="C416" s="14"/>
    </row>
    <row r="417" ht="36.75" customHeight="1">
      <c r="A417" s="14"/>
      <c r="B417" s="14"/>
      <c r="C417" s="14"/>
    </row>
    <row r="418" ht="36.75" customHeight="1">
      <c r="A418" s="14"/>
      <c r="B418" s="14"/>
      <c r="C418" s="14"/>
    </row>
    <row r="419" ht="36.75" customHeight="1">
      <c r="A419" s="14"/>
      <c r="B419" s="14"/>
      <c r="C419" s="14"/>
    </row>
    <row r="420" ht="36.75" customHeight="1">
      <c r="A420" s="14"/>
      <c r="B420" s="14"/>
      <c r="C420" s="14"/>
    </row>
    <row r="421" ht="36.75" customHeight="1">
      <c r="A421" s="14"/>
      <c r="B421" s="14"/>
      <c r="C421" s="14"/>
    </row>
    <row r="422" ht="36.75" customHeight="1">
      <c r="A422" s="14"/>
      <c r="B422" s="14"/>
      <c r="C422" s="14"/>
    </row>
    <row r="423" ht="36.75" customHeight="1">
      <c r="A423" s="14"/>
      <c r="B423" s="14"/>
      <c r="C423" s="14"/>
    </row>
    <row r="424" ht="36.75" customHeight="1">
      <c r="A424" s="14"/>
      <c r="B424" s="14"/>
      <c r="C424" s="14"/>
    </row>
    <row r="425" ht="36.75" customHeight="1">
      <c r="A425" s="14"/>
      <c r="B425" s="14"/>
      <c r="C425" s="14"/>
    </row>
    <row r="426" ht="36.75" customHeight="1">
      <c r="A426" s="14"/>
      <c r="B426" s="14"/>
      <c r="C426" s="14"/>
    </row>
    <row r="427" ht="36.75" customHeight="1">
      <c r="A427" s="14"/>
      <c r="B427" s="14"/>
      <c r="C427" s="14"/>
    </row>
    <row r="428" ht="36.75" customHeight="1">
      <c r="A428" s="14"/>
      <c r="B428" s="14"/>
      <c r="C428" s="14"/>
    </row>
    <row r="429" ht="36.75" customHeight="1">
      <c r="A429" s="14"/>
      <c r="B429" s="14"/>
      <c r="C429" s="14"/>
    </row>
    <row r="430" ht="36.75" customHeight="1">
      <c r="A430" s="14"/>
      <c r="B430" s="14"/>
      <c r="C430" s="14"/>
    </row>
    <row r="431" ht="36.75" customHeight="1">
      <c r="A431" s="14"/>
      <c r="B431" s="14"/>
      <c r="C431" s="14"/>
    </row>
    <row r="432" ht="36.75" customHeight="1">
      <c r="A432" s="14"/>
      <c r="B432" s="14"/>
      <c r="C432" s="14"/>
    </row>
    <row r="433" ht="36.75" customHeight="1">
      <c r="A433" s="14"/>
      <c r="B433" s="14"/>
      <c r="C433" s="14"/>
    </row>
    <row r="434" ht="36.75" customHeight="1">
      <c r="A434" s="14"/>
      <c r="B434" s="14"/>
      <c r="C434" s="14"/>
    </row>
    <row r="435" ht="36.75" customHeight="1">
      <c r="A435" s="14"/>
      <c r="B435" s="14"/>
      <c r="C435" s="14"/>
    </row>
    <row r="436" ht="36.75" customHeight="1">
      <c r="A436" s="14"/>
      <c r="B436" s="14"/>
      <c r="C436" s="14"/>
    </row>
    <row r="437" ht="36.75" customHeight="1">
      <c r="A437" s="14"/>
      <c r="B437" s="14"/>
      <c r="C437" s="14"/>
    </row>
    <row r="438" ht="36.75" customHeight="1">
      <c r="A438" s="14"/>
      <c r="B438" s="14"/>
      <c r="C438" s="14"/>
    </row>
    <row r="439" ht="36.75" customHeight="1">
      <c r="A439" s="14"/>
      <c r="B439" s="14"/>
      <c r="C439" s="14"/>
    </row>
    <row r="440" ht="36.75" customHeight="1">
      <c r="A440" s="14"/>
      <c r="B440" s="14"/>
      <c r="C440" s="14"/>
    </row>
    <row r="441" ht="36.75" customHeight="1">
      <c r="A441" s="14"/>
      <c r="B441" s="14"/>
      <c r="C441" s="14"/>
    </row>
    <row r="442" ht="36.75" customHeight="1">
      <c r="A442" s="14"/>
      <c r="B442" s="14"/>
      <c r="C442" s="14"/>
    </row>
    <row r="443" ht="36.75" customHeight="1">
      <c r="A443" s="14"/>
      <c r="B443" s="14"/>
      <c r="C443" s="14"/>
    </row>
    <row r="444" ht="36.75" customHeight="1">
      <c r="A444" s="14"/>
      <c r="B444" s="14"/>
      <c r="C444" s="14"/>
    </row>
    <row r="445" ht="36.75" customHeight="1">
      <c r="A445" s="14"/>
      <c r="B445" s="14"/>
      <c r="C445" s="14"/>
    </row>
    <row r="446" ht="36.75" customHeight="1">
      <c r="A446" s="14"/>
      <c r="B446" s="14"/>
      <c r="C446" s="14"/>
    </row>
    <row r="447" ht="36.75" customHeight="1">
      <c r="A447" s="14"/>
      <c r="B447" s="14"/>
      <c r="C447" s="14"/>
    </row>
    <row r="448" ht="36.75" customHeight="1">
      <c r="A448" s="14"/>
      <c r="B448" s="14"/>
      <c r="C448" s="14"/>
    </row>
    <row r="449" ht="36.75" customHeight="1">
      <c r="A449" s="14"/>
      <c r="B449" s="14"/>
      <c r="C449" s="14"/>
    </row>
    <row r="450" ht="36.75" customHeight="1">
      <c r="A450" s="14"/>
      <c r="B450" s="14"/>
      <c r="C450" s="14"/>
    </row>
    <row r="451" ht="36.75" customHeight="1">
      <c r="A451" s="14"/>
      <c r="B451" s="14"/>
      <c r="C451" s="14"/>
    </row>
    <row r="452" ht="36.75" customHeight="1">
      <c r="A452" s="14"/>
      <c r="B452" s="14"/>
      <c r="C452" s="14"/>
    </row>
    <row r="453" ht="36.75" customHeight="1">
      <c r="A453" s="14"/>
      <c r="B453" s="14"/>
      <c r="C453" s="14"/>
    </row>
    <row r="454" ht="36.75" customHeight="1">
      <c r="A454" s="14"/>
      <c r="B454" s="14"/>
      <c r="C454" s="14"/>
    </row>
    <row r="455" ht="36.75" customHeight="1">
      <c r="A455" s="14"/>
      <c r="B455" s="14"/>
      <c r="C455" s="14"/>
    </row>
    <row r="456" ht="36.75" customHeight="1">
      <c r="A456" s="14"/>
      <c r="B456" s="14"/>
      <c r="C456" s="14"/>
    </row>
    <row r="457" ht="36.75" customHeight="1">
      <c r="A457" s="14"/>
      <c r="B457" s="14"/>
      <c r="C457" s="14"/>
    </row>
    <row r="458" ht="36.75" customHeight="1">
      <c r="A458" s="14"/>
      <c r="B458" s="14"/>
      <c r="C458" s="14"/>
    </row>
    <row r="459" ht="36.75" customHeight="1">
      <c r="A459" s="14"/>
      <c r="B459" s="14"/>
      <c r="C459" s="14"/>
    </row>
    <row r="460" ht="36.75" customHeight="1">
      <c r="A460" s="14"/>
      <c r="B460" s="14"/>
      <c r="C460" s="14"/>
    </row>
    <row r="461" ht="36.75" customHeight="1">
      <c r="A461" s="14"/>
      <c r="B461" s="14"/>
      <c r="C461" s="14"/>
    </row>
    <row r="462" ht="36.75" customHeight="1">
      <c r="A462" s="14"/>
      <c r="B462" s="14"/>
      <c r="C462" s="14"/>
    </row>
    <row r="463" ht="36.75" customHeight="1">
      <c r="A463" s="14"/>
      <c r="B463" s="14"/>
      <c r="C463" s="14"/>
    </row>
    <row r="464" ht="36.75" customHeight="1">
      <c r="A464" s="14"/>
      <c r="B464" s="14"/>
      <c r="C464" s="14"/>
    </row>
    <row r="465" ht="36.75" customHeight="1">
      <c r="A465" s="14"/>
      <c r="B465" s="14"/>
      <c r="C465" s="14"/>
    </row>
    <row r="466" ht="36.75" customHeight="1">
      <c r="A466" s="14"/>
      <c r="B466" s="14"/>
      <c r="C466" s="14"/>
    </row>
    <row r="467" ht="36.75" customHeight="1">
      <c r="A467" s="14"/>
      <c r="B467" s="14"/>
      <c r="C467" s="14"/>
    </row>
    <row r="468" ht="36.75" customHeight="1">
      <c r="A468" s="14"/>
      <c r="B468" s="14"/>
      <c r="C468" s="14"/>
    </row>
    <row r="469" ht="36.75" customHeight="1">
      <c r="A469" s="14"/>
      <c r="B469" s="14"/>
      <c r="C469" s="14"/>
    </row>
    <row r="470" ht="36.75" customHeight="1">
      <c r="A470" s="14"/>
      <c r="B470" s="14"/>
      <c r="C470" s="14"/>
    </row>
    <row r="471" ht="36.75" customHeight="1">
      <c r="A471" s="14"/>
      <c r="B471" s="14"/>
      <c r="C471" s="14"/>
    </row>
    <row r="472" ht="36.75" customHeight="1">
      <c r="A472" s="14"/>
      <c r="B472" s="14"/>
      <c r="C472" s="14"/>
    </row>
    <row r="473" ht="36.75" customHeight="1">
      <c r="A473" s="14"/>
      <c r="B473" s="14"/>
      <c r="C473" s="14"/>
    </row>
    <row r="474" ht="36.75" customHeight="1">
      <c r="A474" s="14"/>
      <c r="B474" s="14"/>
      <c r="C474" s="14"/>
    </row>
    <row r="475" ht="36.75" customHeight="1">
      <c r="A475" s="14"/>
      <c r="B475" s="14"/>
      <c r="C475" s="14"/>
    </row>
    <row r="476" ht="36.75" customHeight="1">
      <c r="A476" s="14"/>
      <c r="B476" s="14"/>
      <c r="C476" s="14"/>
    </row>
    <row r="477" ht="36.75" customHeight="1">
      <c r="A477" s="14"/>
      <c r="B477" s="14"/>
      <c r="C477" s="14"/>
    </row>
    <row r="478" ht="36.75" customHeight="1">
      <c r="A478" s="14"/>
      <c r="B478" s="14"/>
      <c r="C478" s="14"/>
    </row>
    <row r="479" ht="36.75" customHeight="1">
      <c r="A479" s="14"/>
      <c r="B479" s="14"/>
      <c r="C479" s="14"/>
    </row>
    <row r="480" ht="36.75" customHeight="1">
      <c r="A480" s="14"/>
      <c r="B480" s="14"/>
      <c r="C480" s="14"/>
    </row>
    <row r="481" ht="36.75" customHeight="1">
      <c r="A481" s="14"/>
      <c r="B481" s="14"/>
      <c r="C481" s="14"/>
    </row>
    <row r="482" ht="36.75" customHeight="1">
      <c r="A482" s="14"/>
      <c r="B482" s="14"/>
      <c r="C482" s="14"/>
    </row>
    <row r="483" ht="36.75" customHeight="1">
      <c r="A483" s="14"/>
      <c r="B483" s="14"/>
      <c r="C483" s="14"/>
    </row>
    <row r="484" ht="36.75" customHeight="1">
      <c r="A484" s="14"/>
      <c r="B484" s="14"/>
      <c r="C484" s="14"/>
    </row>
    <row r="485" ht="36.75" customHeight="1">
      <c r="A485" s="14"/>
      <c r="B485" s="14"/>
      <c r="C485" s="14"/>
    </row>
    <row r="486" ht="36.75" customHeight="1">
      <c r="A486" s="14"/>
      <c r="B486" s="14"/>
      <c r="C486" s="14"/>
    </row>
    <row r="487" ht="36.75" customHeight="1">
      <c r="A487" s="14"/>
      <c r="B487" s="14"/>
      <c r="C487" s="14"/>
    </row>
    <row r="488" ht="36.75" customHeight="1">
      <c r="A488" s="14"/>
      <c r="B488" s="14"/>
      <c r="C488" s="14"/>
    </row>
    <row r="489" ht="36.75" customHeight="1">
      <c r="A489" s="14"/>
      <c r="B489" s="14"/>
      <c r="C489" s="14"/>
    </row>
    <row r="490" ht="36.75" customHeight="1">
      <c r="A490" s="14"/>
      <c r="B490" s="14"/>
      <c r="C490" s="14"/>
    </row>
    <row r="491" ht="36.75" customHeight="1">
      <c r="A491" s="14"/>
      <c r="B491" s="14"/>
      <c r="C491" s="14"/>
    </row>
    <row r="492" ht="36.75" customHeight="1">
      <c r="A492" s="14"/>
      <c r="B492" s="14"/>
      <c r="C492" s="14"/>
    </row>
    <row r="493" ht="36.75" customHeight="1">
      <c r="A493" s="14"/>
      <c r="B493" s="14"/>
      <c r="C493" s="14"/>
    </row>
    <row r="494" ht="36.75" customHeight="1">
      <c r="A494" s="14"/>
      <c r="B494" s="14"/>
      <c r="C494" s="14"/>
    </row>
    <row r="495" ht="36.75" customHeight="1">
      <c r="A495" s="14"/>
      <c r="B495" s="14"/>
      <c r="C495" s="14"/>
    </row>
    <row r="496" ht="36.75" customHeight="1">
      <c r="A496" s="14"/>
      <c r="B496" s="14"/>
      <c r="C496" s="14"/>
    </row>
    <row r="497" ht="36.75" customHeight="1">
      <c r="A497" s="14"/>
      <c r="B497" s="14"/>
      <c r="C497" s="14"/>
    </row>
    <row r="498" ht="36.75" customHeight="1">
      <c r="A498" s="14"/>
      <c r="B498" s="14"/>
      <c r="C498" s="14"/>
    </row>
    <row r="499" ht="36.75" customHeight="1">
      <c r="A499" s="14"/>
      <c r="B499" s="14"/>
      <c r="C499" s="14"/>
    </row>
    <row r="500" ht="36.75" customHeight="1">
      <c r="A500" s="14"/>
      <c r="B500" s="14"/>
      <c r="C500" s="14"/>
    </row>
    <row r="501" ht="36.75" customHeight="1">
      <c r="A501" s="14"/>
      <c r="B501" s="14"/>
      <c r="C501" s="14"/>
    </row>
    <row r="502" ht="36.75" customHeight="1">
      <c r="A502" s="14"/>
      <c r="B502" s="14"/>
      <c r="C502" s="14"/>
    </row>
    <row r="503" ht="36.75" customHeight="1">
      <c r="A503" s="14"/>
      <c r="B503" s="14"/>
      <c r="C503" s="14"/>
    </row>
    <row r="504" ht="36.75" customHeight="1">
      <c r="A504" s="14"/>
      <c r="B504" s="14"/>
      <c r="C504" s="14"/>
    </row>
    <row r="505" ht="36.75" customHeight="1">
      <c r="A505" s="14"/>
      <c r="B505" s="14"/>
      <c r="C505" s="14"/>
    </row>
    <row r="506" ht="36.75" customHeight="1">
      <c r="A506" s="14"/>
      <c r="B506" s="14"/>
      <c r="C506" s="14"/>
    </row>
    <row r="507" ht="36.75" customHeight="1">
      <c r="A507" s="14"/>
      <c r="B507" s="14"/>
      <c r="C507" s="14"/>
    </row>
    <row r="508" ht="36.75" customHeight="1">
      <c r="A508" s="14"/>
      <c r="B508" s="14"/>
      <c r="C508" s="14"/>
    </row>
    <row r="509" ht="36.75" customHeight="1">
      <c r="A509" s="14"/>
      <c r="B509" s="14"/>
      <c r="C509" s="14"/>
    </row>
    <row r="510" ht="36.75" customHeight="1">
      <c r="A510" s="14"/>
      <c r="B510" s="14"/>
      <c r="C510" s="14"/>
    </row>
    <row r="511" ht="36.75" customHeight="1">
      <c r="A511" s="14"/>
      <c r="B511" s="14"/>
      <c r="C511" s="14"/>
    </row>
    <row r="512" ht="36.75" customHeight="1">
      <c r="A512" s="14"/>
      <c r="B512" s="14"/>
      <c r="C512" s="14"/>
    </row>
    <row r="513" ht="36.75" customHeight="1">
      <c r="A513" s="14"/>
      <c r="B513" s="14"/>
      <c r="C513" s="14"/>
    </row>
    <row r="514" ht="36.75" customHeight="1">
      <c r="A514" s="14"/>
      <c r="B514" s="14"/>
      <c r="C514" s="14"/>
    </row>
    <row r="515" ht="36.75" customHeight="1">
      <c r="A515" s="14"/>
      <c r="B515" s="14"/>
      <c r="C515" s="14"/>
    </row>
    <row r="516" ht="36.75" customHeight="1">
      <c r="A516" s="14"/>
      <c r="B516" s="14"/>
      <c r="C516" s="14"/>
    </row>
    <row r="517" ht="36.75" customHeight="1">
      <c r="A517" s="14"/>
      <c r="B517" s="14"/>
      <c r="C517" s="14"/>
    </row>
    <row r="518" ht="36.75" customHeight="1">
      <c r="A518" s="14"/>
      <c r="B518" s="14"/>
      <c r="C518" s="14"/>
    </row>
    <row r="519" ht="36.75" customHeight="1">
      <c r="A519" s="14"/>
      <c r="B519" s="14"/>
      <c r="C519" s="14"/>
    </row>
    <row r="520" ht="36.75" customHeight="1">
      <c r="A520" s="14"/>
      <c r="B520" s="14"/>
      <c r="C520" s="14"/>
    </row>
    <row r="521" ht="36.75" customHeight="1">
      <c r="A521" s="14"/>
      <c r="B521" s="14"/>
      <c r="C521" s="14"/>
    </row>
    <row r="522" ht="36.75" customHeight="1">
      <c r="A522" s="14"/>
      <c r="B522" s="14"/>
      <c r="C522" s="14"/>
    </row>
    <row r="523" ht="36.75" customHeight="1">
      <c r="A523" s="14"/>
      <c r="B523" s="14"/>
      <c r="C523" s="14"/>
    </row>
    <row r="524" ht="36.75" customHeight="1">
      <c r="A524" s="14"/>
      <c r="B524" s="14"/>
      <c r="C524" s="14"/>
    </row>
    <row r="525" ht="36.75" customHeight="1">
      <c r="A525" s="14"/>
      <c r="B525" s="14"/>
      <c r="C525" s="14"/>
    </row>
    <row r="526" ht="36.75" customHeight="1">
      <c r="A526" s="14"/>
      <c r="B526" s="14"/>
      <c r="C526" s="14"/>
    </row>
    <row r="527" ht="36.75" customHeight="1">
      <c r="A527" s="14"/>
      <c r="B527" s="14"/>
      <c r="C527" s="14"/>
    </row>
    <row r="528" ht="36.75" customHeight="1">
      <c r="A528" s="14"/>
      <c r="B528" s="14"/>
      <c r="C528" s="14"/>
    </row>
    <row r="529" ht="36.75" customHeight="1">
      <c r="A529" s="14"/>
      <c r="B529" s="14"/>
      <c r="C529" s="14"/>
    </row>
    <row r="530" ht="36.75" customHeight="1">
      <c r="A530" s="14"/>
      <c r="B530" s="14"/>
      <c r="C530" s="14"/>
    </row>
    <row r="531" ht="36.75" customHeight="1">
      <c r="A531" s="14"/>
      <c r="B531" s="14"/>
      <c r="C531" s="14"/>
    </row>
    <row r="532" ht="36.75" customHeight="1">
      <c r="A532" s="14"/>
      <c r="B532" s="14"/>
      <c r="C532" s="14"/>
    </row>
    <row r="533" ht="36.75" customHeight="1">
      <c r="A533" s="14"/>
      <c r="B533" s="14"/>
      <c r="C533" s="14"/>
    </row>
    <row r="534" ht="36.75" customHeight="1">
      <c r="A534" s="14"/>
      <c r="B534" s="14"/>
      <c r="C534" s="14"/>
    </row>
    <row r="535" ht="36.75" customHeight="1">
      <c r="A535" s="14"/>
      <c r="B535" s="14"/>
      <c r="C535" s="14"/>
    </row>
    <row r="536" ht="36.75" customHeight="1">
      <c r="A536" s="14"/>
      <c r="B536" s="14"/>
      <c r="C536" s="14"/>
    </row>
    <row r="537" ht="36.75" customHeight="1">
      <c r="A537" s="14"/>
      <c r="B537" s="14"/>
      <c r="C537" s="14"/>
    </row>
    <row r="538" ht="36.75" customHeight="1">
      <c r="A538" s="14"/>
      <c r="B538" s="14"/>
      <c r="C538" s="14"/>
    </row>
    <row r="539" ht="36.75" customHeight="1">
      <c r="A539" s="14"/>
      <c r="B539" s="14"/>
      <c r="C539" s="14"/>
    </row>
    <row r="540" ht="36.75" customHeight="1">
      <c r="A540" s="14"/>
      <c r="B540" s="14"/>
      <c r="C540" s="14"/>
    </row>
    <row r="541" ht="36.75" customHeight="1">
      <c r="A541" s="14"/>
      <c r="B541" s="14"/>
      <c r="C541" s="14"/>
    </row>
    <row r="542" ht="36.75" customHeight="1">
      <c r="A542" s="14"/>
      <c r="B542" s="14"/>
      <c r="C542" s="14"/>
    </row>
    <row r="543" ht="36.75" customHeight="1">
      <c r="A543" s="14"/>
      <c r="B543" s="14"/>
      <c r="C543" s="14"/>
    </row>
    <row r="544" ht="36.75" customHeight="1">
      <c r="A544" s="14"/>
      <c r="B544" s="14"/>
      <c r="C544" s="14"/>
    </row>
    <row r="545" ht="36.75" customHeight="1">
      <c r="A545" s="14"/>
      <c r="B545" s="14"/>
      <c r="C545" s="14"/>
    </row>
    <row r="546" ht="36.75" customHeight="1">
      <c r="A546" s="14"/>
      <c r="B546" s="14"/>
      <c r="C546" s="14"/>
    </row>
    <row r="547" ht="36.75" customHeight="1">
      <c r="A547" s="14"/>
      <c r="B547" s="14"/>
      <c r="C547" s="14"/>
    </row>
    <row r="548" ht="36.75" customHeight="1">
      <c r="A548" s="14"/>
      <c r="B548" s="14"/>
      <c r="C548" s="14"/>
    </row>
    <row r="549" ht="36.75" customHeight="1">
      <c r="A549" s="14"/>
      <c r="B549" s="14"/>
      <c r="C549" s="14"/>
    </row>
    <row r="550" ht="36.75" customHeight="1">
      <c r="A550" s="14"/>
      <c r="B550" s="14"/>
      <c r="C550" s="14"/>
    </row>
    <row r="551" ht="36.75" customHeight="1">
      <c r="A551" s="14"/>
      <c r="B551" s="14"/>
      <c r="C551" s="14"/>
    </row>
    <row r="552" ht="36.75" customHeight="1">
      <c r="A552" s="14"/>
      <c r="B552" s="14"/>
      <c r="C552" s="14"/>
    </row>
    <row r="553" ht="36.75" customHeight="1">
      <c r="A553" s="14"/>
      <c r="B553" s="14"/>
      <c r="C553" s="14"/>
    </row>
    <row r="554" ht="36.75" customHeight="1">
      <c r="A554" s="14"/>
      <c r="B554" s="14"/>
      <c r="C554" s="14"/>
    </row>
    <row r="555" ht="36.75" customHeight="1">
      <c r="A555" s="14"/>
      <c r="B555" s="14"/>
      <c r="C555" s="14"/>
    </row>
    <row r="556" ht="36.75" customHeight="1">
      <c r="A556" s="14"/>
      <c r="B556" s="14"/>
      <c r="C556" s="14"/>
    </row>
    <row r="557" ht="36.75" customHeight="1">
      <c r="A557" s="14"/>
      <c r="B557" s="14"/>
      <c r="C557" s="14"/>
    </row>
    <row r="558" ht="36.75" customHeight="1">
      <c r="A558" s="14"/>
      <c r="B558" s="14"/>
      <c r="C558" s="14"/>
    </row>
    <row r="559" ht="36.75" customHeight="1">
      <c r="A559" s="14"/>
      <c r="B559" s="14"/>
      <c r="C559" s="14"/>
    </row>
    <row r="560" ht="36.75" customHeight="1">
      <c r="A560" s="14"/>
      <c r="B560" s="14"/>
      <c r="C560" s="14"/>
    </row>
    <row r="561" ht="36.75" customHeight="1">
      <c r="A561" s="14"/>
      <c r="B561" s="14"/>
      <c r="C561" s="14"/>
    </row>
    <row r="562" ht="36.75" customHeight="1">
      <c r="A562" s="14"/>
      <c r="B562" s="14"/>
      <c r="C562" s="14"/>
    </row>
    <row r="563" ht="36.75" customHeight="1">
      <c r="A563" s="14"/>
      <c r="B563" s="14"/>
      <c r="C563" s="14"/>
    </row>
    <row r="564" ht="36.75" customHeight="1">
      <c r="A564" s="14"/>
      <c r="B564" s="14"/>
      <c r="C564" s="14"/>
    </row>
    <row r="565" ht="36.75" customHeight="1">
      <c r="A565" s="14"/>
      <c r="B565" s="14"/>
      <c r="C565" s="14"/>
    </row>
    <row r="566" ht="36.75" customHeight="1">
      <c r="A566" s="14"/>
      <c r="B566" s="14"/>
      <c r="C566" s="14"/>
    </row>
    <row r="567" ht="36.75" customHeight="1">
      <c r="A567" s="14"/>
      <c r="B567" s="14"/>
      <c r="C567" s="14"/>
    </row>
    <row r="568" ht="36.75" customHeight="1">
      <c r="A568" s="14"/>
      <c r="B568" s="14"/>
      <c r="C568" s="14"/>
    </row>
    <row r="569" ht="36.75" customHeight="1">
      <c r="A569" s="14"/>
      <c r="B569" s="14"/>
      <c r="C569" s="14"/>
    </row>
    <row r="570" ht="36.75" customHeight="1">
      <c r="A570" s="14"/>
      <c r="B570" s="14"/>
      <c r="C570" s="14"/>
    </row>
    <row r="571" ht="36.75" customHeight="1">
      <c r="A571" s="14"/>
      <c r="B571" s="14"/>
      <c r="C571" s="14"/>
    </row>
    <row r="572" ht="36.75" customHeight="1">
      <c r="A572" s="14"/>
      <c r="B572" s="14"/>
      <c r="C572" s="14"/>
    </row>
    <row r="573" ht="36.75" customHeight="1">
      <c r="A573" s="14"/>
      <c r="B573" s="14"/>
      <c r="C573" s="14"/>
    </row>
    <row r="574" ht="36.75" customHeight="1">
      <c r="A574" s="14"/>
      <c r="B574" s="14"/>
      <c r="C574" s="14"/>
    </row>
    <row r="575" ht="36.75" customHeight="1">
      <c r="A575" s="14"/>
      <c r="B575" s="14"/>
      <c r="C575" s="14"/>
    </row>
    <row r="576" ht="36.75" customHeight="1">
      <c r="A576" s="14"/>
      <c r="B576" s="14"/>
      <c r="C576" s="14"/>
    </row>
    <row r="577" ht="36.75" customHeight="1">
      <c r="A577" s="14"/>
      <c r="B577" s="14"/>
      <c r="C577" s="14"/>
    </row>
    <row r="578" ht="36.75" customHeight="1">
      <c r="A578" s="14"/>
      <c r="B578" s="14"/>
      <c r="C578" s="14"/>
    </row>
    <row r="579" ht="36.75" customHeight="1">
      <c r="A579" s="14"/>
      <c r="B579" s="14"/>
      <c r="C579" s="14"/>
    </row>
    <row r="580" ht="36.75" customHeight="1">
      <c r="A580" s="14"/>
      <c r="B580" s="14"/>
      <c r="C580" s="14"/>
    </row>
    <row r="581" ht="36.75" customHeight="1">
      <c r="A581" s="14"/>
      <c r="B581" s="14"/>
      <c r="C581" s="14"/>
    </row>
    <row r="582" ht="36.75" customHeight="1">
      <c r="A582" s="14"/>
      <c r="B582" s="14"/>
      <c r="C582" s="14"/>
    </row>
    <row r="583" ht="36.75" customHeight="1">
      <c r="A583" s="14"/>
      <c r="B583" s="14"/>
      <c r="C583" s="14"/>
    </row>
    <row r="584" ht="36.75" customHeight="1">
      <c r="A584" s="14"/>
      <c r="B584" s="14"/>
      <c r="C584" s="14"/>
    </row>
    <row r="585" ht="36.75" customHeight="1">
      <c r="A585" s="14"/>
      <c r="B585" s="14"/>
      <c r="C585" s="14"/>
    </row>
    <row r="586" ht="36.75" customHeight="1">
      <c r="A586" s="14"/>
      <c r="B586" s="14"/>
      <c r="C586" s="14"/>
    </row>
    <row r="587" ht="36.75" customHeight="1">
      <c r="A587" s="14"/>
      <c r="B587" s="14"/>
      <c r="C587" s="14"/>
    </row>
    <row r="588" ht="36.75" customHeight="1">
      <c r="A588" s="14"/>
      <c r="B588" s="14"/>
      <c r="C588" s="14"/>
    </row>
    <row r="589" ht="36.75" customHeight="1">
      <c r="A589" s="14"/>
      <c r="B589" s="14"/>
      <c r="C589" s="14"/>
    </row>
    <row r="590" ht="36.75" customHeight="1">
      <c r="A590" s="14"/>
      <c r="B590" s="14"/>
      <c r="C590" s="14"/>
    </row>
    <row r="591" ht="36.75" customHeight="1">
      <c r="A591" s="14"/>
      <c r="B591" s="14"/>
      <c r="C591" s="14"/>
    </row>
    <row r="592" ht="36.75" customHeight="1">
      <c r="A592" s="14"/>
      <c r="B592" s="14"/>
      <c r="C592" s="14"/>
    </row>
    <row r="593" ht="36.75" customHeight="1">
      <c r="A593" s="14"/>
      <c r="B593" s="14"/>
      <c r="C593" s="14"/>
    </row>
    <row r="594" ht="36.75" customHeight="1">
      <c r="A594" s="14"/>
      <c r="B594" s="14"/>
      <c r="C594" s="14"/>
    </row>
    <row r="595" ht="36.75" customHeight="1">
      <c r="A595" s="14"/>
      <c r="B595" s="14"/>
      <c r="C595" s="14"/>
    </row>
    <row r="596" ht="36.75" customHeight="1">
      <c r="A596" s="14"/>
      <c r="B596" s="14"/>
      <c r="C596" s="14"/>
    </row>
    <row r="597" ht="36.75" customHeight="1">
      <c r="A597" s="14"/>
      <c r="B597" s="14"/>
      <c r="C597" s="14"/>
    </row>
    <row r="598" ht="36.75" customHeight="1">
      <c r="A598" s="14"/>
      <c r="B598" s="14"/>
      <c r="C598" s="14"/>
    </row>
    <row r="599" ht="36.75" customHeight="1">
      <c r="A599" s="14"/>
      <c r="B599" s="14"/>
      <c r="C599" s="14"/>
    </row>
    <row r="600" ht="36.75" customHeight="1">
      <c r="A600" s="14"/>
      <c r="B600" s="14"/>
      <c r="C600" s="14"/>
    </row>
    <row r="601" ht="36.75" customHeight="1">
      <c r="A601" s="14"/>
      <c r="B601" s="14"/>
      <c r="C601" s="14"/>
    </row>
    <row r="602" ht="36.75" customHeight="1">
      <c r="A602" s="14"/>
      <c r="B602" s="14"/>
      <c r="C602" s="14"/>
    </row>
    <row r="603" ht="36.75" customHeight="1">
      <c r="A603" s="14"/>
      <c r="B603" s="14"/>
      <c r="C603" s="14"/>
    </row>
    <row r="604" ht="36.75" customHeight="1">
      <c r="A604" s="14"/>
      <c r="B604" s="14"/>
      <c r="C604" s="14"/>
    </row>
    <row r="605" ht="36.75" customHeight="1">
      <c r="A605" s="14"/>
      <c r="B605" s="14"/>
      <c r="C605" s="14"/>
    </row>
    <row r="606" ht="36.75" customHeight="1">
      <c r="A606" s="14"/>
      <c r="B606" s="14"/>
      <c r="C606" s="14"/>
    </row>
    <row r="607" ht="36.75" customHeight="1">
      <c r="A607" s="14"/>
      <c r="B607" s="14"/>
      <c r="C607" s="14"/>
    </row>
    <row r="608" ht="36.75" customHeight="1">
      <c r="A608" s="14"/>
      <c r="B608" s="14"/>
      <c r="C608" s="14"/>
    </row>
    <row r="609" ht="36.75" customHeight="1">
      <c r="A609" s="14"/>
      <c r="B609" s="14"/>
      <c r="C609" s="14"/>
    </row>
    <row r="610" ht="36.75" customHeight="1">
      <c r="A610" s="14"/>
      <c r="B610" s="14"/>
      <c r="C610" s="14"/>
    </row>
    <row r="611" ht="36.75" customHeight="1">
      <c r="A611" s="14"/>
      <c r="B611" s="14"/>
      <c r="C611" s="14"/>
    </row>
    <row r="612" ht="36.75" customHeight="1">
      <c r="A612" s="14"/>
      <c r="B612" s="14"/>
      <c r="C612" s="14"/>
    </row>
    <row r="613" ht="36.75" customHeight="1">
      <c r="A613" s="14"/>
      <c r="B613" s="14"/>
      <c r="C613" s="14"/>
    </row>
    <row r="614" ht="36.75" customHeight="1">
      <c r="A614" s="14"/>
      <c r="B614" s="14"/>
      <c r="C614" s="14"/>
    </row>
    <row r="615" ht="36.75" customHeight="1">
      <c r="A615" s="14"/>
      <c r="B615" s="14"/>
      <c r="C615" s="14"/>
    </row>
    <row r="616" ht="36.75" customHeight="1">
      <c r="A616" s="14"/>
      <c r="B616" s="14"/>
      <c r="C616" s="14"/>
    </row>
    <row r="617" ht="36.75" customHeight="1">
      <c r="A617" s="14"/>
      <c r="B617" s="14"/>
      <c r="C617" s="14"/>
    </row>
    <row r="618" ht="36.75" customHeight="1">
      <c r="A618" s="14"/>
      <c r="B618" s="14"/>
      <c r="C618" s="14"/>
    </row>
    <row r="619" ht="36.75" customHeight="1">
      <c r="A619" s="14"/>
      <c r="B619" s="14"/>
      <c r="C619" s="14"/>
    </row>
    <row r="620" ht="36.75" customHeight="1">
      <c r="A620" s="14"/>
      <c r="B620" s="14"/>
      <c r="C620" s="14"/>
    </row>
    <row r="621" ht="36.75" customHeight="1">
      <c r="A621" s="14"/>
      <c r="B621" s="14"/>
      <c r="C621" s="14"/>
    </row>
    <row r="622" ht="36.75" customHeight="1">
      <c r="A622" s="14"/>
      <c r="B622" s="14"/>
      <c r="C622" s="14"/>
    </row>
    <row r="623" ht="36.75" customHeight="1">
      <c r="A623" s="14"/>
      <c r="B623" s="14"/>
      <c r="C623" s="14"/>
    </row>
    <row r="624" ht="36.75" customHeight="1">
      <c r="A624" s="14"/>
      <c r="B624" s="14"/>
      <c r="C624" s="14"/>
    </row>
    <row r="625" ht="36.75" customHeight="1">
      <c r="A625" s="14"/>
      <c r="B625" s="14"/>
      <c r="C625" s="14"/>
    </row>
    <row r="626" ht="36.75" customHeight="1">
      <c r="A626" s="14"/>
      <c r="B626" s="14"/>
      <c r="C626" s="14"/>
    </row>
    <row r="627" ht="36.75" customHeight="1">
      <c r="A627" s="14"/>
      <c r="B627" s="14"/>
      <c r="C627" s="14"/>
    </row>
    <row r="628" ht="36.75" customHeight="1">
      <c r="A628" s="14"/>
      <c r="B628" s="14"/>
      <c r="C628" s="14"/>
    </row>
    <row r="629" ht="36.75" customHeight="1">
      <c r="A629" s="14"/>
      <c r="B629" s="14"/>
      <c r="C629" s="14"/>
    </row>
    <row r="630" ht="36.75" customHeight="1">
      <c r="A630" s="14"/>
      <c r="B630" s="14"/>
      <c r="C630" s="14"/>
    </row>
    <row r="631" ht="36.75" customHeight="1">
      <c r="A631" s="14"/>
      <c r="B631" s="14"/>
      <c r="C631" s="14"/>
    </row>
    <row r="632" ht="36.75" customHeight="1">
      <c r="A632" s="14"/>
      <c r="B632" s="14"/>
      <c r="C632" s="14"/>
    </row>
    <row r="633" ht="36.75" customHeight="1">
      <c r="A633" s="14"/>
      <c r="B633" s="14"/>
      <c r="C633" s="14"/>
    </row>
    <row r="634" ht="36.75" customHeight="1">
      <c r="A634" s="14"/>
      <c r="B634" s="14"/>
      <c r="C634" s="14"/>
    </row>
    <row r="635" ht="36.75" customHeight="1">
      <c r="A635" s="14"/>
      <c r="B635" s="14"/>
      <c r="C635" s="14"/>
    </row>
    <row r="636" ht="36.75" customHeight="1">
      <c r="A636" s="14"/>
      <c r="B636" s="14"/>
      <c r="C636" s="14"/>
    </row>
    <row r="637" ht="36.75" customHeight="1">
      <c r="A637" s="14"/>
      <c r="B637" s="14"/>
      <c r="C637" s="14"/>
    </row>
    <row r="638" ht="36.75" customHeight="1">
      <c r="A638" s="14"/>
      <c r="B638" s="14"/>
      <c r="C638" s="14"/>
    </row>
    <row r="639" ht="36.75" customHeight="1">
      <c r="A639" s="14"/>
      <c r="B639" s="14"/>
      <c r="C639" s="14"/>
    </row>
    <row r="640" ht="36.75" customHeight="1">
      <c r="A640" s="14"/>
      <c r="B640" s="14"/>
      <c r="C640" s="14"/>
    </row>
    <row r="641" ht="36.75" customHeight="1">
      <c r="A641" s="14"/>
      <c r="B641" s="14"/>
      <c r="C641" s="14"/>
    </row>
    <row r="642" ht="36.75" customHeight="1">
      <c r="A642" s="14"/>
      <c r="B642" s="14"/>
      <c r="C642" s="14"/>
    </row>
    <row r="643" ht="36.75" customHeight="1">
      <c r="A643" s="14"/>
      <c r="B643" s="14"/>
      <c r="C643" s="14"/>
    </row>
    <row r="644" ht="36.75" customHeight="1">
      <c r="A644" s="14"/>
      <c r="B644" s="14"/>
      <c r="C644" s="14"/>
    </row>
    <row r="645" ht="36.75" customHeight="1">
      <c r="A645" s="14"/>
      <c r="B645" s="14"/>
      <c r="C645" s="14"/>
    </row>
    <row r="646" ht="36.75" customHeight="1">
      <c r="A646" s="14"/>
      <c r="B646" s="14"/>
      <c r="C646" s="14"/>
    </row>
    <row r="647" ht="36.75" customHeight="1">
      <c r="A647" s="14"/>
      <c r="B647" s="14"/>
      <c r="C647" s="14"/>
    </row>
    <row r="648" ht="36.75" customHeight="1">
      <c r="A648" s="14"/>
      <c r="B648" s="14"/>
      <c r="C648" s="14"/>
    </row>
    <row r="649" ht="36.75" customHeight="1">
      <c r="A649" s="14"/>
      <c r="B649" s="14"/>
      <c r="C649" s="14"/>
    </row>
    <row r="650" ht="36.75" customHeight="1">
      <c r="A650" s="14"/>
      <c r="B650" s="14"/>
      <c r="C650" s="14"/>
    </row>
    <row r="651" ht="36.75" customHeight="1">
      <c r="A651" s="14"/>
      <c r="B651" s="14"/>
      <c r="C651" s="14"/>
    </row>
    <row r="652" ht="36.75" customHeight="1">
      <c r="A652" s="14"/>
      <c r="B652" s="14"/>
      <c r="C652" s="14"/>
    </row>
    <row r="653" ht="36.75" customHeight="1">
      <c r="A653" s="14"/>
      <c r="B653" s="14"/>
      <c r="C653" s="14"/>
    </row>
    <row r="654" ht="36.75" customHeight="1">
      <c r="A654" s="14"/>
      <c r="B654" s="14"/>
      <c r="C654" s="14"/>
    </row>
    <row r="655" ht="36.75" customHeight="1">
      <c r="A655" s="14"/>
      <c r="B655" s="14"/>
      <c r="C655" s="14"/>
    </row>
    <row r="656" ht="36.75" customHeight="1">
      <c r="A656" s="14"/>
      <c r="B656" s="14"/>
      <c r="C656" s="14"/>
    </row>
    <row r="657" ht="36.75" customHeight="1">
      <c r="A657" s="14"/>
      <c r="B657" s="14"/>
      <c r="C657" s="14"/>
    </row>
    <row r="658" ht="36.75" customHeight="1">
      <c r="A658" s="14"/>
      <c r="B658" s="14"/>
      <c r="C658" s="14"/>
    </row>
    <row r="659" ht="36.75" customHeight="1">
      <c r="A659" s="14"/>
      <c r="B659" s="14"/>
      <c r="C659" s="14"/>
    </row>
    <row r="660" ht="36.75" customHeight="1">
      <c r="A660" s="14"/>
      <c r="B660" s="14"/>
      <c r="C660" s="14"/>
    </row>
    <row r="661" ht="36.75" customHeight="1">
      <c r="A661" s="14"/>
      <c r="B661" s="14"/>
      <c r="C661" s="14"/>
    </row>
    <row r="662" ht="36.75" customHeight="1">
      <c r="A662" s="14"/>
      <c r="B662" s="14"/>
      <c r="C662" s="14"/>
    </row>
    <row r="663" ht="36.75" customHeight="1">
      <c r="A663" s="14"/>
      <c r="B663" s="14"/>
      <c r="C663" s="14"/>
    </row>
    <row r="664" ht="36.75" customHeight="1">
      <c r="A664" s="14"/>
      <c r="B664" s="14"/>
      <c r="C664" s="14"/>
    </row>
    <row r="665" ht="36.75" customHeight="1">
      <c r="A665" s="14"/>
      <c r="B665" s="14"/>
      <c r="C665" s="14"/>
    </row>
    <row r="666" ht="36.75" customHeight="1">
      <c r="A666" s="14"/>
      <c r="B666" s="14"/>
      <c r="C666" s="14"/>
    </row>
    <row r="667" ht="36.75" customHeight="1">
      <c r="A667" s="14"/>
      <c r="B667" s="14"/>
      <c r="C667" s="14"/>
    </row>
    <row r="668" ht="36.75" customHeight="1">
      <c r="A668" s="14"/>
      <c r="B668" s="14"/>
      <c r="C668" s="14"/>
    </row>
    <row r="669" ht="36.75" customHeight="1">
      <c r="A669" s="14"/>
      <c r="B669" s="14"/>
      <c r="C669" s="14"/>
    </row>
    <row r="670" ht="36.75" customHeight="1">
      <c r="A670" s="14"/>
      <c r="B670" s="14"/>
      <c r="C670" s="14"/>
    </row>
    <row r="671" ht="36.75" customHeight="1">
      <c r="A671" s="14"/>
      <c r="B671" s="14"/>
      <c r="C671" s="14"/>
    </row>
    <row r="672" ht="36.75" customHeight="1">
      <c r="A672" s="14"/>
      <c r="B672" s="14"/>
      <c r="C672" s="14"/>
    </row>
    <row r="673" ht="36.75" customHeight="1">
      <c r="A673" s="14"/>
      <c r="B673" s="14"/>
      <c r="C673" s="14"/>
    </row>
    <row r="674" ht="36.75" customHeight="1">
      <c r="A674" s="14"/>
      <c r="B674" s="14"/>
      <c r="C674" s="14"/>
    </row>
    <row r="675" ht="36.75" customHeight="1">
      <c r="A675" s="14"/>
      <c r="B675" s="14"/>
      <c r="C675" s="14"/>
    </row>
    <row r="676" ht="36.75" customHeight="1">
      <c r="A676" s="14"/>
      <c r="B676" s="14"/>
      <c r="C676" s="14"/>
    </row>
    <row r="677" ht="36.75" customHeight="1">
      <c r="A677" s="14"/>
      <c r="B677" s="14"/>
      <c r="C677" s="14"/>
    </row>
    <row r="678" ht="36.75" customHeight="1">
      <c r="A678" s="14"/>
      <c r="B678" s="14"/>
      <c r="C678" s="14"/>
    </row>
    <row r="679" ht="36.75" customHeight="1">
      <c r="A679" s="14"/>
      <c r="B679" s="14"/>
      <c r="C679" s="14"/>
    </row>
    <row r="680" ht="36.75" customHeight="1">
      <c r="A680" s="14"/>
      <c r="B680" s="14"/>
      <c r="C680" s="14"/>
    </row>
    <row r="681" ht="36.75" customHeight="1">
      <c r="A681" s="14"/>
      <c r="B681" s="14"/>
      <c r="C681" s="14"/>
    </row>
    <row r="682" ht="36.75" customHeight="1">
      <c r="A682" s="14"/>
      <c r="B682" s="14"/>
      <c r="C682" s="14"/>
    </row>
    <row r="683" ht="36.75" customHeight="1">
      <c r="A683" s="14"/>
      <c r="B683" s="14"/>
      <c r="C683" s="14"/>
    </row>
    <row r="684" ht="36.75" customHeight="1">
      <c r="A684" s="14"/>
      <c r="B684" s="14"/>
      <c r="C684" s="14"/>
    </row>
    <row r="685" ht="36.75" customHeight="1">
      <c r="A685" s="14"/>
      <c r="B685" s="14"/>
      <c r="C685" s="14"/>
    </row>
    <row r="686" ht="36.75" customHeight="1">
      <c r="A686" s="14"/>
      <c r="B686" s="14"/>
      <c r="C686" s="14"/>
    </row>
    <row r="687" ht="36.75" customHeight="1">
      <c r="A687" s="14"/>
      <c r="B687" s="14"/>
      <c r="C687" s="14"/>
    </row>
    <row r="688" ht="36.75" customHeight="1">
      <c r="A688" s="14"/>
      <c r="B688" s="14"/>
      <c r="C688" s="14"/>
    </row>
    <row r="689" ht="36.75" customHeight="1">
      <c r="A689" s="14"/>
      <c r="B689" s="14"/>
      <c r="C689" s="14"/>
    </row>
    <row r="690" ht="36.75" customHeight="1">
      <c r="A690" s="14"/>
      <c r="B690" s="14"/>
      <c r="C690" s="14"/>
    </row>
    <row r="691" ht="36.75" customHeight="1">
      <c r="A691" s="14"/>
      <c r="B691" s="14"/>
      <c r="C691" s="14"/>
    </row>
    <row r="692" ht="36.75" customHeight="1">
      <c r="A692" s="14"/>
      <c r="B692" s="14"/>
      <c r="C692" s="14"/>
    </row>
    <row r="693" ht="36.75" customHeight="1">
      <c r="A693" s="14"/>
      <c r="B693" s="14"/>
      <c r="C693" s="14"/>
    </row>
    <row r="694" ht="36.75" customHeight="1">
      <c r="A694" s="14"/>
      <c r="B694" s="14"/>
      <c r="C694" s="14"/>
    </row>
    <row r="695" ht="36.75" customHeight="1">
      <c r="A695" s="14"/>
      <c r="B695" s="14"/>
      <c r="C695" s="14"/>
    </row>
    <row r="696" ht="36.75" customHeight="1">
      <c r="A696" s="14"/>
      <c r="B696" s="14"/>
      <c r="C696" s="14"/>
    </row>
    <row r="697" ht="36.75" customHeight="1">
      <c r="A697" s="14"/>
      <c r="B697" s="14"/>
      <c r="C697" s="14"/>
    </row>
    <row r="698" ht="36.75" customHeight="1">
      <c r="A698" s="14"/>
      <c r="B698" s="14"/>
      <c r="C698" s="14"/>
    </row>
    <row r="699" ht="36.75" customHeight="1">
      <c r="A699" s="14"/>
      <c r="B699" s="14"/>
      <c r="C699" s="14"/>
    </row>
    <row r="700" ht="36.75" customHeight="1">
      <c r="A700" s="14"/>
      <c r="B700" s="14"/>
      <c r="C700" s="14"/>
    </row>
    <row r="701" ht="36.75" customHeight="1">
      <c r="A701" s="14"/>
      <c r="B701" s="14"/>
      <c r="C701" s="14"/>
    </row>
    <row r="702" ht="36.75" customHeight="1">
      <c r="A702" s="14"/>
      <c r="B702" s="14"/>
      <c r="C702" s="14"/>
    </row>
    <row r="703" ht="36.75" customHeight="1">
      <c r="A703" s="14"/>
      <c r="B703" s="14"/>
      <c r="C703" s="14"/>
    </row>
    <row r="704" ht="36.75" customHeight="1">
      <c r="A704" s="14"/>
      <c r="B704" s="14"/>
      <c r="C704" s="14"/>
    </row>
    <row r="705" ht="36.75" customHeight="1">
      <c r="A705" s="14"/>
      <c r="B705" s="14"/>
      <c r="C705" s="14"/>
    </row>
    <row r="706" ht="36.75" customHeight="1">
      <c r="A706" s="14"/>
      <c r="B706" s="14"/>
      <c r="C706" s="14"/>
    </row>
    <row r="707" ht="36.75" customHeight="1">
      <c r="A707" s="14"/>
      <c r="B707" s="14"/>
      <c r="C707" s="14"/>
    </row>
    <row r="708" ht="36.75" customHeight="1">
      <c r="A708" s="14"/>
      <c r="B708" s="14"/>
      <c r="C708" s="14"/>
    </row>
    <row r="709" ht="36.75" customHeight="1">
      <c r="A709" s="14"/>
      <c r="B709" s="14"/>
      <c r="C709" s="14"/>
    </row>
    <row r="710" ht="36.75" customHeight="1">
      <c r="A710" s="14"/>
      <c r="B710" s="14"/>
      <c r="C710" s="14"/>
    </row>
    <row r="711" ht="36.75" customHeight="1">
      <c r="A711" s="14"/>
      <c r="B711" s="14"/>
      <c r="C711" s="14"/>
    </row>
    <row r="712" ht="36.75" customHeight="1">
      <c r="A712" s="14"/>
      <c r="B712" s="14"/>
      <c r="C712" s="14"/>
    </row>
    <row r="713" ht="36.75" customHeight="1">
      <c r="A713" s="14"/>
      <c r="B713" s="14"/>
      <c r="C713" s="14"/>
    </row>
    <row r="714" ht="36.75" customHeight="1">
      <c r="A714" s="14"/>
      <c r="B714" s="14"/>
      <c r="C714" s="14"/>
    </row>
    <row r="715" ht="36.75" customHeight="1">
      <c r="A715" s="14"/>
      <c r="B715" s="14"/>
      <c r="C715" s="14"/>
    </row>
    <row r="716" ht="36.75" customHeight="1">
      <c r="A716" s="14"/>
      <c r="B716" s="14"/>
      <c r="C716" s="14"/>
    </row>
    <row r="717" ht="36.75" customHeight="1">
      <c r="A717" s="14"/>
      <c r="B717" s="14"/>
      <c r="C717" s="14"/>
    </row>
    <row r="718" ht="36.75" customHeight="1">
      <c r="A718" s="14"/>
      <c r="B718" s="14"/>
      <c r="C718" s="14"/>
    </row>
    <row r="719" ht="36.75" customHeight="1">
      <c r="A719" s="14"/>
      <c r="B719" s="14"/>
      <c r="C719" s="14"/>
    </row>
    <row r="720" ht="36.75" customHeight="1">
      <c r="A720" s="14"/>
      <c r="B720" s="14"/>
      <c r="C720" s="14"/>
    </row>
    <row r="721" ht="36.75" customHeight="1">
      <c r="A721" s="14"/>
      <c r="B721" s="14"/>
      <c r="C721" s="14"/>
    </row>
    <row r="722" ht="36.75" customHeight="1">
      <c r="A722" s="14"/>
      <c r="B722" s="14"/>
      <c r="C722" s="14"/>
    </row>
    <row r="723" ht="36.75" customHeight="1">
      <c r="A723" s="14"/>
      <c r="B723" s="14"/>
      <c r="C723" s="14"/>
    </row>
    <row r="724" ht="36.75" customHeight="1">
      <c r="A724" s="14"/>
      <c r="B724" s="14"/>
      <c r="C724" s="14"/>
    </row>
    <row r="725" ht="36.75" customHeight="1">
      <c r="A725" s="14"/>
      <c r="B725" s="14"/>
      <c r="C725" s="14"/>
    </row>
    <row r="726" ht="36.75" customHeight="1">
      <c r="A726" s="14"/>
      <c r="B726" s="14"/>
      <c r="C726" s="14"/>
    </row>
    <row r="727" ht="36.75" customHeight="1">
      <c r="A727" s="14"/>
      <c r="B727" s="14"/>
      <c r="C727" s="14"/>
    </row>
    <row r="728" ht="36.75" customHeight="1">
      <c r="A728" s="14"/>
      <c r="B728" s="14"/>
      <c r="C728" s="14"/>
    </row>
    <row r="729" ht="36.75" customHeight="1">
      <c r="A729" s="14"/>
      <c r="B729" s="14"/>
      <c r="C729" s="14"/>
    </row>
    <row r="730" ht="36.75" customHeight="1">
      <c r="A730" s="14"/>
      <c r="B730" s="14"/>
      <c r="C730" s="14"/>
    </row>
    <row r="731" ht="36.75" customHeight="1">
      <c r="A731" s="14"/>
      <c r="B731" s="14"/>
      <c r="C731" s="14"/>
    </row>
    <row r="732" ht="36.75" customHeight="1">
      <c r="A732" s="14"/>
      <c r="B732" s="14"/>
      <c r="C732" s="14"/>
    </row>
    <row r="733" ht="36.75" customHeight="1">
      <c r="A733" s="14"/>
      <c r="B733" s="14"/>
      <c r="C733" s="14"/>
    </row>
    <row r="734" ht="36.75" customHeight="1">
      <c r="A734" s="14"/>
      <c r="B734" s="14"/>
      <c r="C734" s="14"/>
    </row>
    <row r="735" ht="36.75" customHeight="1">
      <c r="A735" s="14"/>
      <c r="B735" s="14"/>
      <c r="C735" s="14"/>
    </row>
    <row r="736" ht="36.75" customHeight="1">
      <c r="A736" s="14"/>
      <c r="B736" s="14"/>
      <c r="C736" s="14"/>
    </row>
    <row r="737" ht="36.75" customHeight="1">
      <c r="A737" s="14"/>
      <c r="B737" s="14"/>
      <c r="C737" s="14"/>
    </row>
    <row r="738" ht="36.75" customHeight="1">
      <c r="A738" s="14"/>
      <c r="B738" s="14"/>
      <c r="C738" s="14"/>
    </row>
    <row r="739" ht="36.75" customHeight="1">
      <c r="A739" s="14"/>
      <c r="B739" s="14"/>
      <c r="C739" s="14"/>
    </row>
    <row r="740" ht="36.75" customHeight="1">
      <c r="A740" s="14"/>
      <c r="B740" s="14"/>
      <c r="C740" s="14"/>
    </row>
    <row r="741" ht="36.75" customHeight="1">
      <c r="A741" s="14"/>
      <c r="B741" s="14"/>
      <c r="C741" s="14"/>
    </row>
    <row r="742" ht="36.75" customHeight="1">
      <c r="A742" s="14"/>
      <c r="B742" s="14"/>
      <c r="C742" s="14"/>
    </row>
    <row r="743" ht="36.75" customHeight="1">
      <c r="A743" s="14"/>
      <c r="B743" s="14"/>
      <c r="C743" s="14"/>
    </row>
    <row r="744" ht="36.75" customHeight="1">
      <c r="A744" s="14"/>
      <c r="B744" s="14"/>
      <c r="C744" s="14"/>
    </row>
    <row r="745" ht="36.75" customHeight="1">
      <c r="A745" s="14"/>
      <c r="B745" s="14"/>
      <c r="C745" s="14"/>
    </row>
    <row r="746" ht="36.75" customHeight="1">
      <c r="A746" s="14"/>
      <c r="B746" s="14"/>
      <c r="C746" s="14"/>
    </row>
    <row r="747" ht="36.75" customHeight="1">
      <c r="A747" s="14"/>
      <c r="B747" s="14"/>
      <c r="C747" s="14"/>
    </row>
    <row r="748" ht="36.75" customHeight="1">
      <c r="A748" s="14"/>
      <c r="B748" s="14"/>
      <c r="C748" s="14"/>
    </row>
    <row r="749" ht="36.75" customHeight="1">
      <c r="A749" s="14"/>
      <c r="B749" s="14"/>
      <c r="C749" s="14"/>
    </row>
    <row r="750" ht="36.75" customHeight="1">
      <c r="A750" s="14"/>
      <c r="B750" s="14"/>
      <c r="C750" s="14"/>
    </row>
    <row r="751" ht="36.75" customHeight="1">
      <c r="A751" s="14"/>
      <c r="B751" s="14"/>
      <c r="C751" s="14"/>
    </row>
    <row r="752" ht="36.75" customHeight="1">
      <c r="A752" s="14"/>
      <c r="B752" s="14"/>
      <c r="C752" s="14"/>
    </row>
    <row r="753" ht="36.75" customHeight="1">
      <c r="A753" s="14"/>
      <c r="B753" s="14"/>
      <c r="C753" s="14"/>
    </row>
    <row r="754" ht="36.75" customHeight="1">
      <c r="A754" s="14"/>
      <c r="B754" s="14"/>
      <c r="C754" s="14"/>
    </row>
    <row r="755" ht="36.75" customHeight="1">
      <c r="A755" s="14"/>
      <c r="B755" s="14"/>
      <c r="C755" s="14"/>
    </row>
    <row r="756" ht="36.75" customHeight="1">
      <c r="A756" s="14"/>
      <c r="B756" s="14"/>
      <c r="C756" s="14"/>
    </row>
    <row r="757" ht="36.75" customHeight="1">
      <c r="A757" s="14"/>
      <c r="B757" s="14"/>
      <c r="C757" s="14"/>
    </row>
    <row r="758" ht="36.75" customHeight="1">
      <c r="A758" s="14"/>
      <c r="B758" s="14"/>
      <c r="C758" s="14"/>
    </row>
    <row r="759" ht="36.75" customHeight="1">
      <c r="A759" s="14"/>
      <c r="B759" s="14"/>
      <c r="C759" s="14"/>
    </row>
    <row r="760" ht="36.75" customHeight="1">
      <c r="A760" s="14"/>
      <c r="B760" s="14"/>
      <c r="C760" s="14"/>
    </row>
    <row r="761" ht="36.75" customHeight="1">
      <c r="A761" s="14"/>
      <c r="B761" s="14"/>
      <c r="C761" s="14"/>
    </row>
    <row r="762" ht="36.75" customHeight="1">
      <c r="A762" s="14"/>
      <c r="B762" s="14"/>
      <c r="C762" s="14"/>
    </row>
    <row r="763" ht="36.75" customHeight="1">
      <c r="A763" s="14"/>
      <c r="B763" s="14"/>
      <c r="C763" s="14"/>
    </row>
    <row r="764" ht="36.75" customHeight="1">
      <c r="A764" s="14"/>
      <c r="B764" s="14"/>
      <c r="C764" s="14"/>
    </row>
    <row r="765" ht="36.75" customHeight="1">
      <c r="A765" s="14"/>
      <c r="B765" s="14"/>
      <c r="C765" s="14"/>
    </row>
    <row r="766" ht="36.75" customHeight="1">
      <c r="A766" s="14"/>
      <c r="B766" s="14"/>
      <c r="C766" s="14"/>
    </row>
    <row r="767" ht="36.75" customHeight="1">
      <c r="A767" s="14"/>
      <c r="B767" s="14"/>
      <c r="C767" s="14"/>
    </row>
    <row r="768" ht="36.75" customHeight="1">
      <c r="A768" s="14"/>
      <c r="B768" s="14"/>
      <c r="C768" s="14"/>
    </row>
    <row r="769" ht="36.75" customHeight="1">
      <c r="A769" s="14"/>
      <c r="B769" s="14"/>
      <c r="C769" s="14"/>
    </row>
    <row r="770" ht="36.75" customHeight="1">
      <c r="A770" s="14"/>
      <c r="B770" s="14"/>
      <c r="C770" s="14"/>
    </row>
    <row r="771" ht="36.75" customHeight="1">
      <c r="A771" s="14"/>
      <c r="B771" s="14"/>
      <c r="C771" s="14"/>
    </row>
    <row r="772" ht="36.75" customHeight="1">
      <c r="A772" s="14"/>
      <c r="B772" s="14"/>
      <c r="C772" s="14"/>
    </row>
    <row r="773" ht="36.75" customHeight="1">
      <c r="A773" s="14"/>
      <c r="B773" s="14"/>
      <c r="C773" s="14"/>
    </row>
    <row r="774" ht="36.75" customHeight="1">
      <c r="A774" s="14"/>
      <c r="B774" s="14"/>
      <c r="C774" s="14"/>
    </row>
    <row r="775" ht="36.75" customHeight="1">
      <c r="A775" s="14"/>
      <c r="B775" s="14"/>
      <c r="C775" s="14"/>
    </row>
    <row r="776" ht="36.75" customHeight="1">
      <c r="A776" s="14"/>
      <c r="B776" s="14"/>
      <c r="C776" s="14"/>
    </row>
    <row r="777" ht="36.75" customHeight="1">
      <c r="A777" s="14"/>
      <c r="B777" s="14"/>
      <c r="C777" s="14"/>
    </row>
    <row r="778" ht="36.75" customHeight="1">
      <c r="A778" s="14"/>
      <c r="B778" s="14"/>
      <c r="C778" s="14"/>
    </row>
    <row r="779" ht="36.75" customHeight="1">
      <c r="A779" s="14"/>
      <c r="B779" s="14"/>
      <c r="C779" s="14"/>
    </row>
    <row r="780" ht="36.75" customHeight="1">
      <c r="A780" s="14"/>
      <c r="B780" s="14"/>
      <c r="C780" s="14"/>
    </row>
    <row r="781" ht="36.75" customHeight="1">
      <c r="A781" s="14"/>
      <c r="B781" s="14"/>
      <c r="C781" s="14"/>
    </row>
    <row r="782" ht="36.75" customHeight="1">
      <c r="A782" s="14"/>
      <c r="B782" s="14"/>
      <c r="C782" s="14"/>
    </row>
    <row r="783" ht="36.75" customHeight="1">
      <c r="A783" s="14"/>
      <c r="B783" s="14"/>
      <c r="C783" s="14"/>
    </row>
    <row r="784" ht="36.75" customHeight="1">
      <c r="A784" s="14"/>
      <c r="B784" s="14"/>
      <c r="C784" s="14"/>
    </row>
    <row r="785" ht="36.75" customHeight="1">
      <c r="A785" s="14"/>
      <c r="B785" s="14"/>
      <c r="C785" s="14"/>
    </row>
    <row r="786" ht="36.75" customHeight="1">
      <c r="A786" s="14"/>
      <c r="B786" s="14"/>
      <c r="C786" s="14"/>
    </row>
    <row r="787" ht="36.75" customHeight="1">
      <c r="A787" s="14"/>
      <c r="B787" s="14"/>
      <c r="C787" s="14"/>
    </row>
    <row r="788" ht="36.75" customHeight="1">
      <c r="A788" s="14"/>
      <c r="B788" s="14"/>
      <c r="C788" s="14"/>
    </row>
    <row r="789" ht="36.75" customHeight="1">
      <c r="A789" s="14"/>
      <c r="B789" s="14"/>
      <c r="C789" s="14"/>
    </row>
    <row r="790" ht="36.75" customHeight="1">
      <c r="A790" s="14"/>
      <c r="B790" s="14"/>
      <c r="C790" s="14"/>
    </row>
    <row r="791" ht="36.75" customHeight="1">
      <c r="A791" s="14"/>
      <c r="B791" s="14"/>
      <c r="C791" s="14"/>
    </row>
    <row r="792" ht="36.75" customHeight="1">
      <c r="A792" s="14"/>
      <c r="B792" s="14"/>
      <c r="C792" s="14"/>
    </row>
    <row r="793" ht="36.75" customHeight="1">
      <c r="A793" s="14"/>
      <c r="B793" s="14"/>
      <c r="C793" s="14"/>
    </row>
    <row r="794" ht="36.75" customHeight="1">
      <c r="A794" s="14"/>
      <c r="B794" s="14"/>
      <c r="C794" s="14"/>
    </row>
    <row r="795" ht="36.75" customHeight="1">
      <c r="A795" s="14"/>
      <c r="B795" s="14"/>
      <c r="C795" s="14"/>
    </row>
    <row r="796" ht="36.75" customHeight="1">
      <c r="A796" s="14"/>
      <c r="B796" s="14"/>
      <c r="C796" s="14"/>
    </row>
    <row r="797" ht="36.75" customHeight="1">
      <c r="A797" s="14"/>
      <c r="B797" s="14"/>
      <c r="C797" s="14"/>
    </row>
    <row r="798" ht="36.75" customHeight="1">
      <c r="A798" s="14"/>
      <c r="B798" s="14"/>
      <c r="C798" s="14"/>
    </row>
    <row r="799" ht="36.75" customHeight="1">
      <c r="A799" s="14"/>
      <c r="B799" s="14"/>
      <c r="C799" s="14"/>
    </row>
    <row r="800" ht="36.75" customHeight="1">
      <c r="A800" s="14"/>
      <c r="B800" s="14"/>
      <c r="C800" s="14"/>
    </row>
    <row r="801" ht="36.75" customHeight="1">
      <c r="A801" s="14"/>
      <c r="B801" s="14"/>
      <c r="C801" s="14"/>
    </row>
    <row r="802" ht="36.75" customHeight="1">
      <c r="A802" s="14"/>
      <c r="B802" s="14"/>
      <c r="C802" s="14"/>
    </row>
    <row r="803" ht="36.75" customHeight="1">
      <c r="A803" s="14"/>
      <c r="B803" s="14"/>
      <c r="C803" s="14"/>
    </row>
    <row r="804" ht="36.75" customHeight="1">
      <c r="A804" s="14"/>
      <c r="B804" s="14"/>
      <c r="C804" s="14"/>
    </row>
    <row r="805" ht="36.75" customHeight="1">
      <c r="A805" s="14"/>
      <c r="B805" s="14"/>
      <c r="C805" s="14"/>
    </row>
    <row r="806" ht="36.75" customHeight="1">
      <c r="A806" s="14"/>
      <c r="B806" s="14"/>
      <c r="C806" s="14"/>
    </row>
    <row r="807" ht="36.75" customHeight="1">
      <c r="A807" s="14"/>
      <c r="B807" s="14"/>
      <c r="C807" s="14"/>
    </row>
    <row r="808" ht="36.75" customHeight="1">
      <c r="A808" s="14"/>
      <c r="B808" s="14"/>
      <c r="C808" s="14"/>
    </row>
    <row r="809" ht="36.75" customHeight="1">
      <c r="A809" s="14"/>
      <c r="B809" s="14"/>
      <c r="C809" s="14"/>
    </row>
    <row r="810" ht="36.75" customHeight="1">
      <c r="A810" s="14"/>
      <c r="B810" s="14"/>
      <c r="C810" s="14"/>
    </row>
    <row r="811" ht="36.75" customHeight="1">
      <c r="A811" s="14"/>
      <c r="B811" s="14"/>
      <c r="C811" s="14"/>
    </row>
    <row r="812" ht="36.75" customHeight="1">
      <c r="A812" s="14"/>
      <c r="B812" s="14"/>
      <c r="C812" s="14"/>
    </row>
    <row r="813" ht="36.75" customHeight="1">
      <c r="A813" s="14"/>
      <c r="B813" s="14"/>
      <c r="C813" s="14"/>
    </row>
    <row r="814" ht="36.75" customHeight="1">
      <c r="A814" s="14"/>
      <c r="B814" s="14"/>
      <c r="C814" s="14"/>
    </row>
    <row r="815" ht="36.75" customHeight="1">
      <c r="A815" s="14"/>
      <c r="B815" s="14"/>
      <c r="C815" s="14"/>
    </row>
    <row r="816" ht="36.75" customHeight="1">
      <c r="A816" s="14"/>
      <c r="B816" s="14"/>
      <c r="C816" s="14"/>
    </row>
    <row r="817" ht="36.75" customHeight="1">
      <c r="A817" s="14"/>
      <c r="B817" s="14"/>
      <c r="C817" s="14"/>
    </row>
    <row r="818" ht="36.75" customHeight="1">
      <c r="A818" s="14"/>
      <c r="B818" s="14"/>
      <c r="C818" s="14"/>
    </row>
    <row r="819" ht="36.75" customHeight="1">
      <c r="A819" s="14"/>
      <c r="B819" s="14"/>
      <c r="C819" s="14"/>
    </row>
    <row r="820" ht="36.75" customHeight="1">
      <c r="A820" s="14"/>
      <c r="B820" s="14"/>
      <c r="C820" s="14"/>
    </row>
    <row r="821" ht="36.75" customHeight="1">
      <c r="A821" s="14"/>
      <c r="B821" s="14"/>
      <c r="C821" s="14"/>
    </row>
    <row r="822" ht="36.75" customHeight="1">
      <c r="A822" s="14"/>
      <c r="B822" s="14"/>
      <c r="C822" s="14"/>
    </row>
    <row r="823" ht="36.75" customHeight="1">
      <c r="A823" s="14"/>
      <c r="B823" s="14"/>
      <c r="C823" s="14"/>
    </row>
    <row r="824" ht="36.75" customHeight="1">
      <c r="A824" s="14"/>
      <c r="B824" s="14"/>
      <c r="C824" s="14"/>
    </row>
    <row r="825" ht="36.75" customHeight="1">
      <c r="A825" s="14"/>
      <c r="B825" s="14"/>
      <c r="C825" s="14"/>
    </row>
    <row r="826" ht="36.75" customHeight="1">
      <c r="A826" s="14"/>
      <c r="B826" s="14"/>
      <c r="C826" s="14"/>
    </row>
    <row r="827" ht="36.75" customHeight="1">
      <c r="A827" s="14"/>
      <c r="B827" s="14"/>
      <c r="C827" s="14"/>
    </row>
    <row r="828" ht="36.75" customHeight="1">
      <c r="A828" s="14"/>
      <c r="B828" s="14"/>
      <c r="C828" s="14"/>
    </row>
    <row r="829" ht="36.75" customHeight="1">
      <c r="A829" s="14"/>
      <c r="B829" s="14"/>
      <c r="C829" s="14"/>
    </row>
    <row r="830" ht="36.75" customHeight="1">
      <c r="A830" s="14"/>
      <c r="B830" s="14"/>
      <c r="C830" s="14"/>
    </row>
    <row r="831" ht="36.75" customHeight="1">
      <c r="A831" s="14"/>
      <c r="B831" s="14"/>
      <c r="C831" s="14"/>
    </row>
    <row r="832" ht="36.75" customHeight="1">
      <c r="A832" s="14"/>
      <c r="B832" s="14"/>
      <c r="C832" s="14"/>
    </row>
    <row r="833" ht="36.75" customHeight="1">
      <c r="A833" s="14"/>
      <c r="B833" s="14"/>
      <c r="C833" s="14"/>
    </row>
    <row r="834" ht="36.75" customHeight="1">
      <c r="A834" s="14"/>
      <c r="B834" s="14"/>
      <c r="C834" s="14"/>
    </row>
    <row r="835" ht="36.75" customHeight="1">
      <c r="A835" s="14"/>
      <c r="B835" s="14"/>
      <c r="C835" s="14"/>
    </row>
    <row r="836" ht="36.75" customHeight="1">
      <c r="A836" s="14"/>
      <c r="B836" s="14"/>
      <c r="C836" s="14"/>
    </row>
    <row r="837" ht="36.75" customHeight="1">
      <c r="A837" s="14"/>
      <c r="B837" s="14"/>
      <c r="C837" s="14"/>
    </row>
    <row r="838" ht="36.75" customHeight="1">
      <c r="A838" s="14"/>
      <c r="B838" s="14"/>
      <c r="C838" s="14"/>
    </row>
    <row r="839" ht="36.75" customHeight="1">
      <c r="A839" s="14"/>
      <c r="B839" s="14"/>
      <c r="C839" s="14"/>
    </row>
    <row r="840" ht="36.75" customHeight="1">
      <c r="A840" s="14"/>
      <c r="B840" s="14"/>
      <c r="C840" s="14"/>
    </row>
    <row r="841" ht="36.75" customHeight="1">
      <c r="A841" s="14"/>
      <c r="B841" s="14"/>
      <c r="C841" s="14"/>
    </row>
    <row r="842" ht="36.75" customHeight="1">
      <c r="A842" s="14"/>
      <c r="B842" s="14"/>
      <c r="C842" s="14"/>
    </row>
    <row r="843" ht="36.75" customHeight="1">
      <c r="A843" s="14"/>
      <c r="B843" s="14"/>
      <c r="C843" s="14"/>
    </row>
    <row r="844" ht="36.75" customHeight="1">
      <c r="A844" s="14"/>
      <c r="B844" s="14"/>
      <c r="C844" s="14"/>
    </row>
    <row r="845" ht="36.75" customHeight="1">
      <c r="A845" s="14"/>
      <c r="B845" s="14"/>
      <c r="C845" s="14"/>
    </row>
    <row r="846" ht="36.75" customHeight="1">
      <c r="A846" s="14"/>
      <c r="B846" s="14"/>
      <c r="C846" s="14"/>
    </row>
    <row r="847" ht="36.75" customHeight="1">
      <c r="A847" s="14"/>
      <c r="B847" s="14"/>
      <c r="C847" s="14"/>
    </row>
    <row r="848" ht="36.75" customHeight="1">
      <c r="A848" s="14"/>
      <c r="B848" s="14"/>
      <c r="C848" s="14"/>
    </row>
    <row r="849" ht="36.75" customHeight="1">
      <c r="A849" s="14"/>
      <c r="B849" s="14"/>
      <c r="C849" s="14"/>
    </row>
    <row r="850" ht="36.75" customHeight="1">
      <c r="A850" s="14"/>
      <c r="B850" s="14"/>
      <c r="C850" s="14"/>
    </row>
    <row r="851" ht="36.75" customHeight="1">
      <c r="A851" s="14"/>
      <c r="B851" s="14"/>
      <c r="C851" s="14"/>
    </row>
    <row r="852" ht="36.75" customHeight="1">
      <c r="A852" s="14"/>
      <c r="B852" s="14"/>
      <c r="C852" s="14"/>
    </row>
    <row r="853" ht="36.75" customHeight="1">
      <c r="A853" s="14"/>
      <c r="B853" s="14"/>
      <c r="C853" s="14"/>
    </row>
    <row r="854" ht="36.75" customHeight="1">
      <c r="A854" s="14"/>
      <c r="B854" s="14"/>
      <c r="C854" s="14"/>
    </row>
    <row r="855" ht="36.75" customHeight="1">
      <c r="A855" s="14"/>
      <c r="B855" s="14"/>
      <c r="C855" s="14"/>
    </row>
    <row r="856" ht="36.75" customHeight="1">
      <c r="A856" s="14"/>
      <c r="B856" s="14"/>
      <c r="C856" s="14"/>
    </row>
    <row r="857" ht="36.75" customHeight="1">
      <c r="A857" s="14"/>
      <c r="B857" s="14"/>
      <c r="C857" s="14"/>
    </row>
    <row r="858" ht="36.75" customHeight="1">
      <c r="A858" s="14"/>
      <c r="B858" s="14"/>
      <c r="C858" s="14"/>
    </row>
    <row r="859" ht="36.75" customHeight="1">
      <c r="A859" s="14"/>
      <c r="B859" s="14"/>
      <c r="C859" s="14"/>
    </row>
    <row r="860" ht="36.75" customHeight="1">
      <c r="A860" s="14"/>
      <c r="B860" s="14"/>
      <c r="C860" s="14"/>
    </row>
    <row r="861" ht="36.75" customHeight="1">
      <c r="A861" s="14"/>
      <c r="B861" s="14"/>
      <c r="C861" s="14"/>
    </row>
    <row r="862" ht="36.75" customHeight="1">
      <c r="A862" s="14"/>
      <c r="B862" s="14"/>
      <c r="C862" s="14"/>
    </row>
    <row r="863" ht="36.75" customHeight="1">
      <c r="A863" s="14"/>
      <c r="B863" s="14"/>
      <c r="C863" s="14"/>
    </row>
    <row r="864" ht="36.75" customHeight="1">
      <c r="A864" s="14"/>
      <c r="B864" s="14"/>
      <c r="C864" s="14"/>
    </row>
    <row r="865" ht="36.75" customHeight="1">
      <c r="A865" s="14"/>
      <c r="B865" s="14"/>
      <c r="C865" s="14"/>
    </row>
    <row r="866" ht="36.75" customHeight="1">
      <c r="A866" s="14"/>
      <c r="B866" s="14"/>
      <c r="C866" s="14"/>
    </row>
    <row r="867" ht="36.75" customHeight="1">
      <c r="A867" s="14"/>
      <c r="B867" s="14"/>
      <c r="C867" s="14"/>
    </row>
    <row r="868" ht="36.75" customHeight="1">
      <c r="A868" s="14"/>
      <c r="B868" s="14"/>
      <c r="C868" s="14"/>
    </row>
    <row r="869" ht="36.75" customHeight="1">
      <c r="A869" s="14"/>
      <c r="B869" s="14"/>
      <c r="C869" s="14"/>
    </row>
    <row r="870" ht="36.75" customHeight="1">
      <c r="A870" s="14"/>
      <c r="B870" s="14"/>
      <c r="C870" s="14"/>
    </row>
    <row r="871" ht="36.75" customHeight="1">
      <c r="A871" s="14"/>
      <c r="B871" s="14"/>
      <c r="C871" s="14"/>
    </row>
    <row r="872" ht="36.75" customHeight="1">
      <c r="A872" s="14"/>
      <c r="B872" s="14"/>
      <c r="C872" s="14"/>
    </row>
    <row r="873" ht="36.75" customHeight="1">
      <c r="A873" s="14"/>
      <c r="B873" s="14"/>
      <c r="C873" s="14"/>
    </row>
    <row r="874" ht="36.75" customHeight="1">
      <c r="A874" s="14"/>
      <c r="B874" s="14"/>
      <c r="C874" s="14"/>
    </row>
    <row r="875" ht="36.75" customHeight="1">
      <c r="A875" s="14"/>
      <c r="B875" s="14"/>
      <c r="C875" s="14"/>
    </row>
    <row r="876" ht="36.75" customHeight="1">
      <c r="A876" s="14"/>
      <c r="B876" s="14"/>
      <c r="C876" s="14"/>
    </row>
    <row r="877" ht="36.75" customHeight="1">
      <c r="A877" s="14"/>
      <c r="B877" s="14"/>
      <c r="C877" s="14"/>
    </row>
    <row r="878" ht="36.75" customHeight="1">
      <c r="A878" s="14"/>
      <c r="B878" s="14"/>
      <c r="C878" s="14"/>
    </row>
    <row r="879" ht="36.75" customHeight="1">
      <c r="A879" s="14"/>
      <c r="B879" s="14"/>
      <c r="C879" s="14"/>
    </row>
    <row r="880" ht="36.75" customHeight="1">
      <c r="A880" s="14"/>
      <c r="B880" s="14"/>
      <c r="C880" s="14"/>
    </row>
    <row r="881" ht="36.75" customHeight="1">
      <c r="A881" s="14"/>
      <c r="B881" s="14"/>
      <c r="C881" s="14"/>
    </row>
    <row r="882" ht="36.75" customHeight="1">
      <c r="A882" s="14"/>
      <c r="B882" s="14"/>
      <c r="C882" s="14"/>
    </row>
    <row r="883" ht="36.75" customHeight="1">
      <c r="A883" s="14"/>
      <c r="B883" s="14"/>
      <c r="C883" s="14"/>
    </row>
    <row r="884" ht="36.75" customHeight="1">
      <c r="A884" s="14"/>
      <c r="B884" s="14"/>
      <c r="C884" s="14"/>
    </row>
    <row r="885" ht="36.75" customHeight="1">
      <c r="A885" s="14"/>
      <c r="B885" s="14"/>
      <c r="C885" s="14"/>
    </row>
    <row r="886" ht="36.75" customHeight="1">
      <c r="A886" s="14"/>
      <c r="B886" s="14"/>
      <c r="C886" s="14"/>
    </row>
    <row r="887" ht="36.75" customHeight="1">
      <c r="A887" s="14"/>
      <c r="B887" s="14"/>
      <c r="C887" s="14"/>
    </row>
    <row r="888" ht="36.75" customHeight="1">
      <c r="A888" s="14"/>
      <c r="B888" s="14"/>
      <c r="C888" s="14"/>
    </row>
    <row r="889" ht="36.75" customHeight="1">
      <c r="A889" s="14"/>
      <c r="B889" s="14"/>
      <c r="C889" s="14"/>
    </row>
    <row r="890" ht="36.75" customHeight="1">
      <c r="A890" s="14"/>
      <c r="B890" s="14"/>
      <c r="C890" s="14"/>
    </row>
    <row r="891" ht="36.75" customHeight="1">
      <c r="A891" s="14"/>
      <c r="B891" s="14"/>
      <c r="C891" s="14"/>
    </row>
    <row r="892" ht="36.75" customHeight="1">
      <c r="A892" s="14"/>
      <c r="B892" s="14"/>
      <c r="C892" s="14"/>
    </row>
    <row r="893" ht="36.75" customHeight="1">
      <c r="A893" s="14"/>
      <c r="B893" s="14"/>
      <c r="C893" s="14"/>
    </row>
    <row r="894" ht="36.75" customHeight="1">
      <c r="A894" s="14"/>
      <c r="B894" s="14"/>
      <c r="C894" s="14"/>
    </row>
    <row r="895" ht="36.75" customHeight="1">
      <c r="A895" s="14"/>
      <c r="B895" s="14"/>
      <c r="C895" s="14"/>
    </row>
    <row r="896" ht="36.75" customHeight="1">
      <c r="A896" s="14"/>
      <c r="B896" s="14"/>
      <c r="C896" s="14"/>
    </row>
    <row r="897" ht="36.75" customHeight="1">
      <c r="A897" s="14"/>
      <c r="B897" s="14"/>
      <c r="C897" s="14"/>
    </row>
    <row r="898" ht="36.75" customHeight="1">
      <c r="A898" s="14"/>
      <c r="B898" s="14"/>
      <c r="C898" s="14"/>
    </row>
    <row r="899" ht="36.75" customHeight="1">
      <c r="A899" s="14"/>
      <c r="B899" s="14"/>
      <c r="C899" s="14"/>
    </row>
    <row r="900" ht="36.75" customHeight="1">
      <c r="A900" s="14"/>
      <c r="B900" s="14"/>
      <c r="C900" s="14"/>
    </row>
    <row r="901" ht="36.75" customHeight="1">
      <c r="A901" s="14"/>
      <c r="B901" s="14"/>
      <c r="C901" s="14"/>
    </row>
    <row r="902" ht="36.75" customHeight="1">
      <c r="A902" s="14"/>
      <c r="B902" s="14"/>
      <c r="C902" s="14"/>
    </row>
    <row r="903" ht="36.75" customHeight="1">
      <c r="A903" s="14"/>
      <c r="B903" s="14"/>
      <c r="C903" s="14"/>
    </row>
    <row r="904" ht="36.75" customHeight="1">
      <c r="A904" s="14"/>
      <c r="B904" s="14"/>
      <c r="C904" s="14"/>
    </row>
    <row r="905" ht="36.75" customHeight="1">
      <c r="A905" s="14"/>
      <c r="B905" s="14"/>
      <c r="C905" s="14"/>
    </row>
    <row r="906" ht="36.75" customHeight="1">
      <c r="A906" s="14"/>
      <c r="B906" s="14"/>
      <c r="C906" s="14"/>
    </row>
    <row r="907" ht="36.75" customHeight="1">
      <c r="A907" s="14"/>
      <c r="B907" s="14"/>
      <c r="C907" s="14"/>
    </row>
    <row r="908" ht="36.75" customHeight="1">
      <c r="A908" s="14"/>
      <c r="B908" s="14"/>
      <c r="C908" s="14"/>
    </row>
    <row r="909" ht="36.75" customHeight="1">
      <c r="A909" s="14"/>
      <c r="B909" s="14"/>
      <c r="C909" s="14"/>
    </row>
    <row r="910" ht="36.75" customHeight="1">
      <c r="A910" s="14"/>
      <c r="B910" s="14"/>
      <c r="C910" s="14"/>
    </row>
    <row r="911" ht="36.75" customHeight="1">
      <c r="A911" s="14"/>
      <c r="B911" s="14"/>
      <c r="C911" s="14"/>
    </row>
    <row r="912" ht="36.75" customHeight="1">
      <c r="A912" s="14"/>
      <c r="B912" s="14"/>
      <c r="C912" s="14"/>
    </row>
    <row r="913" ht="36.75" customHeight="1">
      <c r="A913" s="14"/>
      <c r="B913" s="14"/>
      <c r="C913" s="14"/>
    </row>
    <row r="914" ht="36.75" customHeight="1">
      <c r="A914" s="14"/>
      <c r="B914" s="14"/>
      <c r="C914" s="14"/>
    </row>
    <row r="915" ht="36.75" customHeight="1">
      <c r="A915" s="14"/>
      <c r="B915" s="14"/>
      <c r="C915" s="14"/>
    </row>
    <row r="916" ht="36.75" customHeight="1">
      <c r="A916" s="14"/>
      <c r="B916" s="14"/>
      <c r="C916" s="14"/>
    </row>
    <row r="917" ht="36.75" customHeight="1">
      <c r="A917" s="14"/>
      <c r="B917" s="14"/>
      <c r="C917" s="14"/>
    </row>
    <row r="918" ht="36.75" customHeight="1">
      <c r="A918" s="14"/>
      <c r="B918" s="14"/>
      <c r="C918" s="14"/>
    </row>
    <row r="919" ht="36.75" customHeight="1">
      <c r="A919" s="14"/>
      <c r="B919" s="14"/>
      <c r="C919" s="14"/>
    </row>
    <row r="920" ht="36.75" customHeight="1">
      <c r="A920" s="14"/>
      <c r="B920" s="14"/>
      <c r="C920" s="14"/>
    </row>
    <row r="921" ht="36.75" customHeight="1">
      <c r="A921" s="14"/>
      <c r="B921" s="14"/>
      <c r="C921" s="14"/>
    </row>
    <row r="922" ht="36.75" customHeight="1">
      <c r="A922" s="14"/>
      <c r="B922" s="14"/>
      <c r="C922" s="14"/>
    </row>
    <row r="923" ht="36.75" customHeight="1">
      <c r="A923" s="14"/>
      <c r="B923" s="14"/>
      <c r="C923" s="14"/>
    </row>
    <row r="924" ht="36.75" customHeight="1">
      <c r="A924" s="14"/>
      <c r="B924" s="14"/>
      <c r="C924" s="14"/>
    </row>
    <row r="925" ht="36.75" customHeight="1">
      <c r="A925" s="14"/>
      <c r="B925" s="14"/>
      <c r="C925" s="14"/>
    </row>
    <row r="926" ht="36.75" customHeight="1">
      <c r="A926" s="14"/>
      <c r="B926" s="14"/>
      <c r="C926" s="14"/>
    </row>
    <row r="927" ht="36.75" customHeight="1">
      <c r="A927" s="14"/>
      <c r="B927" s="14"/>
      <c r="C927" s="14"/>
    </row>
    <row r="928" ht="36.75" customHeight="1">
      <c r="A928" s="14"/>
      <c r="B928" s="14"/>
      <c r="C928" s="14"/>
    </row>
    <row r="929" ht="36.75" customHeight="1">
      <c r="A929" s="14"/>
      <c r="B929" s="14"/>
      <c r="C929" s="14"/>
    </row>
    <row r="930" ht="36.75" customHeight="1">
      <c r="A930" s="14"/>
      <c r="B930" s="14"/>
      <c r="C930" s="14"/>
    </row>
    <row r="931" ht="36.75" customHeight="1">
      <c r="A931" s="14"/>
      <c r="B931" s="14"/>
      <c r="C931" s="14"/>
    </row>
    <row r="932" ht="36.75" customHeight="1">
      <c r="A932" s="14"/>
      <c r="B932" s="14"/>
      <c r="C932" s="14"/>
    </row>
    <row r="933" ht="36.75" customHeight="1">
      <c r="A933" s="14"/>
      <c r="B933" s="14"/>
      <c r="C933" s="14"/>
    </row>
    <row r="934" ht="36.75" customHeight="1">
      <c r="A934" s="14"/>
      <c r="B934" s="14"/>
      <c r="C934" s="14"/>
    </row>
    <row r="935" ht="36.75" customHeight="1">
      <c r="A935" s="14"/>
      <c r="B935" s="14"/>
      <c r="C935" s="14"/>
    </row>
    <row r="936" ht="36.75" customHeight="1">
      <c r="A936" s="14"/>
      <c r="B936" s="14"/>
      <c r="C936" s="14"/>
    </row>
    <row r="937" ht="36.75" customHeight="1">
      <c r="A937" s="14"/>
      <c r="B937" s="14"/>
      <c r="C937" s="14"/>
    </row>
    <row r="938" ht="36.75" customHeight="1">
      <c r="A938" s="14"/>
      <c r="B938" s="14"/>
      <c r="C938" s="14"/>
    </row>
    <row r="939" ht="36.75" customHeight="1">
      <c r="A939" s="14"/>
      <c r="B939" s="14"/>
      <c r="C939" s="14"/>
    </row>
    <row r="940" ht="36.75" customHeight="1">
      <c r="A940" s="14"/>
      <c r="B940" s="14"/>
      <c r="C940" s="14"/>
    </row>
    <row r="941" ht="36.75" customHeight="1">
      <c r="A941" s="14"/>
      <c r="B941" s="14"/>
      <c r="C941" s="14"/>
    </row>
    <row r="942" ht="36.75" customHeight="1">
      <c r="A942" s="14"/>
      <c r="B942" s="14"/>
      <c r="C942" s="14"/>
    </row>
    <row r="943" ht="36.75" customHeight="1">
      <c r="A943" s="14"/>
      <c r="B943" s="14"/>
      <c r="C943" s="14"/>
    </row>
    <row r="944" ht="36.75" customHeight="1">
      <c r="A944" s="14"/>
      <c r="B944" s="14"/>
      <c r="C944" s="14"/>
    </row>
    <row r="945" ht="36.75" customHeight="1">
      <c r="A945" s="14"/>
      <c r="B945" s="14"/>
      <c r="C945" s="14"/>
    </row>
    <row r="946" ht="36.75" customHeight="1">
      <c r="A946" s="14"/>
      <c r="B946" s="14"/>
      <c r="C946" s="14"/>
    </row>
    <row r="947" ht="36.75" customHeight="1">
      <c r="A947" s="14"/>
      <c r="B947" s="14"/>
      <c r="C947" s="14"/>
    </row>
    <row r="948" ht="36.75" customHeight="1">
      <c r="A948" s="14"/>
      <c r="B948" s="14"/>
      <c r="C948" s="14"/>
    </row>
    <row r="949" ht="36.75" customHeight="1">
      <c r="A949" s="14"/>
      <c r="B949" s="14"/>
      <c r="C949" s="14"/>
    </row>
    <row r="950" ht="36.75" customHeight="1">
      <c r="A950" s="14"/>
      <c r="B950" s="14"/>
      <c r="C950" s="14"/>
    </row>
    <row r="951" ht="36.75" customHeight="1">
      <c r="A951" s="14"/>
      <c r="B951" s="14"/>
      <c r="C951" s="14"/>
    </row>
    <row r="952" ht="36.75" customHeight="1">
      <c r="A952" s="14"/>
      <c r="B952" s="14"/>
      <c r="C952" s="14"/>
    </row>
    <row r="953" ht="36.75" customHeight="1">
      <c r="A953" s="14"/>
      <c r="B953" s="14"/>
      <c r="C953" s="14"/>
    </row>
    <row r="954" ht="36.75" customHeight="1">
      <c r="A954" s="14"/>
      <c r="B954" s="14"/>
      <c r="C954" s="14"/>
    </row>
    <row r="955" ht="36.75" customHeight="1">
      <c r="A955" s="14"/>
      <c r="B955" s="14"/>
      <c r="C955" s="14"/>
    </row>
    <row r="956" ht="36.75" customHeight="1">
      <c r="A956" s="14"/>
      <c r="B956" s="14"/>
      <c r="C956" s="14"/>
    </row>
    <row r="957" ht="36.75" customHeight="1">
      <c r="A957" s="14"/>
      <c r="B957" s="14"/>
      <c r="C957" s="14"/>
    </row>
    <row r="958" ht="36.75" customHeight="1">
      <c r="A958" s="14"/>
      <c r="B958" s="14"/>
      <c r="C958" s="14"/>
    </row>
    <row r="959" ht="36.75" customHeight="1">
      <c r="A959" s="14"/>
      <c r="B959" s="14"/>
      <c r="C959" s="14"/>
    </row>
    <row r="960" ht="36.75" customHeight="1">
      <c r="A960" s="14"/>
      <c r="B960" s="14"/>
      <c r="C960" s="14"/>
    </row>
    <row r="961" ht="36.75" customHeight="1">
      <c r="A961" s="14"/>
      <c r="B961" s="14"/>
      <c r="C961" s="14"/>
    </row>
    <row r="962" ht="36.75" customHeight="1">
      <c r="A962" s="14"/>
      <c r="B962" s="14"/>
      <c r="C962" s="14"/>
    </row>
    <row r="963" ht="36.75" customHeight="1">
      <c r="A963" s="14"/>
      <c r="B963" s="14"/>
      <c r="C963" s="14"/>
    </row>
    <row r="964" ht="36.75" customHeight="1">
      <c r="A964" s="14"/>
      <c r="B964" s="14"/>
      <c r="C964" s="14"/>
    </row>
    <row r="965" ht="36.75" customHeight="1">
      <c r="A965" s="14"/>
      <c r="B965" s="14"/>
      <c r="C965" s="14"/>
    </row>
    <row r="966" ht="36.75" customHeight="1">
      <c r="A966" s="14"/>
      <c r="B966" s="14"/>
      <c r="C966" s="14"/>
    </row>
    <row r="967" ht="36.75" customHeight="1">
      <c r="A967" s="14"/>
      <c r="B967" s="14"/>
      <c r="C967" s="14"/>
    </row>
    <row r="968" ht="36.75" customHeight="1">
      <c r="A968" s="14"/>
      <c r="B968" s="14"/>
      <c r="C968" s="14"/>
    </row>
    <row r="969" ht="36.75" customHeight="1">
      <c r="A969" s="14"/>
      <c r="B969" s="14"/>
      <c r="C969" s="14"/>
    </row>
    <row r="970" ht="36.75" customHeight="1">
      <c r="A970" s="14"/>
      <c r="B970" s="14"/>
      <c r="C970" s="14"/>
    </row>
    <row r="971" ht="36.75" customHeight="1">
      <c r="A971" s="14"/>
      <c r="B971" s="14"/>
      <c r="C971" s="14"/>
    </row>
    <row r="972" ht="36.75" customHeight="1">
      <c r="A972" s="14"/>
      <c r="B972" s="14"/>
      <c r="C972" s="14"/>
    </row>
    <row r="973" ht="36.75" customHeight="1">
      <c r="A973" s="14"/>
      <c r="B973" s="14"/>
      <c r="C973" s="14"/>
    </row>
    <row r="974" ht="36.75" customHeight="1">
      <c r="A974" s="14"/>
      <c r="B974" s="14"/>
      <c r="C974" s="14"/>
    </row>
    <row r="975" ht="36.75" customHeight="1">
      <c r="A975" s="14"/>
      <c r="B975" s="14"/>
      <c r="C975" s="14"/>
    </row>
    <row r="976" ht="36.75" customHeight="1">
      <c r="A976" s="14"/>
      <c r="B976" s="14"/>
      <c r="C976" s="14"/>
    </row>
    <row r="977" ht="36.75" customHeight="1">
      <c r="A977" s="14"/>
      <c r="B977" s="14"/>
      <c r="C977" s="14"/>
    </row>
    <row r="978" ht="36.75" customHeight="1">
      <c r="A978" s="14"/>
      <c r="B978" s="14"/>
      <c r="C978" s="14"/>
    </row>
    <row r="979" ht="36.75" customHeight="1">
      <c r="A979" s="14"/>
      <c r="B979" s="14"/>
      <c r="C979" s="14"/>
    </row>
    <row r="980" ht="36.75" customHeight="1">
      <c r="A980" s="14"/>
      <c r="B980" s="14"/>
      <c r="C980" s="14"/>
    </row>
    <row r="981" ht="36.75" customHeight="1">
      <c r="A981" s="14"/>
      <c r="B981" s="14"/>
      <c r="C981" s="14"/>
    </row>
    <row r="982" ht="36.75" customHeight="1">
      <c r="A982" s="14"/>
      <c r="B982" s="14"/>
      <c r="C982" s="14"/>
    </row>
    <row r="983" ht="36.75" customHeight="1">
      <c r="A983" s="14"/>
      <c r="B983" s="14"/>
      <c r="C983" s="14"/>
    </row>
    <row r="984" ht="36.75" customHeight="1">
      <c r="A984" s="14"/>
      <c r="B984" s="14"/>
      <c r="C984" s="14"/>
    </row>
    <row r="985" ht="36.75" customHeight="1">
      <c r="A985" s="14"/>
      <c r="B985" s="14"/>
      <c r="C985" s="14"/>
    </row>
    <row r="986" ht="36.75" customHeight="1">
      <c r="A986" s="14"/>
      <c r="B986" s="14"/>
      <c r="C986" s="14"/>
    </row>
    <row r="987" ht="36.75" customHeight="1">
      <c r="A987" s="14"/>
      <c r="B987" s="14"/>
      <c r="C987" s="14"/>
    </row>
    <row r="988" ht="36.75" customHeight="1">
      <c r="A988" s="14"/>
      <c r="B988" s="14"/>
      <c r="C988" s="14"/>
    </row>
    <row r="989" ht="36.75" customHeight="1">
      <c r="A989" s="14"/>
      <c r="B989" s="14"/>
      <c r="C989" s="14"/>
    </row>
    <row r="990" ht="36.75" customHeight="1">
      <c r="A990" s="14"/>
      <c r="B990" s="14"/>
      <c r="C990" s="14"/>
    </row>
    <row r="991" ht="36.75" customHeight="1">
      <c r="A991" s="14"/>
      <c r="B991" s="14"/>
      <c r="C991" s="14"/>
    </row>
    <row r="992" ht="36.75" customHeight="1">
      <c r="A992" s="14"/>
      <c r="B992" s="14"/>
      <c r="C992" s="14"/>
    </row>
    <row r="993" ht="36.75" customHeight="1">
      <c r="A993" s="14"/>
      <c r="B993" s="14"/>
      <c r="C993" s="14"/>
    </row>
    <row r="994" ht="36.75" customHeight="1">
      <c r="A994" s="14"/>
      <c r="B994" s="14"/>
      <c r="C994" s="14"/>
    </row>
    <row r="995" ht="36.75" customHeight="1">
      <c r="A995" s="14"/>
      <c r="B995" s="14"/>
      <c r="C995" s="14"/>
    </row>
    <row r="996" ht="36.75" customHeight="1">
      <c r="A996" s="14"/>
      <c r="B996" s="14"/>
      <c r="C996" s="14"/>
    </row>
    <row r="997" ht="36.75" customHeight="1">
      <c r="A997" s="14"/>
      <c r="B997" s="14"/>
      <c r="C997" s="14"/>
    </row>
    <row r="998" ht="36.75" customHeight="1">
      <c r="A998" s="14"/>
      <c r="B998" s="14"/>
      <c r="C998" s="14"/>
    </row>
    <row r="999" ht="36.75" customHeight="1">
      <c r="A999" s="14"/>
      <c r="B999" s="14"/>
      <c r="C999" s="14"/>
    </row>
    <row r="1000" ht="36.7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8.71"/>
    <col customWidth="1" min="3" max="3" width="65.29"/>
  </cols>
  <sheetData>
    <row r="1" ht="36.0" customHeight="1">
      <c r="A1" s="16" t="s">
        <v>4617</v>
      </c>
      <c r="B1" s="16" t="str">
        <f>IMAGE("https://lmztiles.s3.eu-west-1.amazonaws.com/Modern_Interiors_v41.3.4/1_Interiors/16x16/Theme_Sorter_Singles/21_Clothing_Store_Singles/Clothing_Store_Singles_1.png")</f>
        <v/>
      </c>
    </row>
    <row r="2" ht="36.0" customHeight="1">
      <c r="A2" s="16" t="s">
        <v>4618</v>
      </c>
      <c r="B2" s="16" t="str">
        <f>IMAGE("https://lmztiles.s3.eu-west-1.amazonaws.com/Modern_Interiors_v41.3.4/1_Interiors/16x16/Theme_Sorter_Singles/21_Clothing_Store_Singles/Clothing_Store_Singles_2.png")</f>
        <v/>
      </c>
    </row>
    <row r="3" ht="36.0" customHeight="1">
      <c r="A3" s="16" t="s">
        <v>4619</v>
      </c>
      <c r="B3" s="16" t="str">
        <f>IMAGE("https://lmztiles.s3.eu-west-1.amazonaws.com/Modern_Interiors_v41.3.4/1_Interiors/16x16/Theme_Sorter_Singles/21_Clothing_Store_Singles/Clothing_Store_Singles_3.png")</f>
        <v/>
      </c>
    </row>
    <row r="4" ht="36.0" customHeight="1">
      <c r="A4" s="16" t="s">
        <v>4620</v>
      </c>
      <c r="B4" s="16" t="str">
        <f>IMAGE("https://lmztiles.s3.eu-west-1.amazonaws.com/Modern_Interiors_v41.3.4/1_Interiors/16x16/Theme_Sorter_Singles/21_Clothing_Store_Singles/Clothing_Store_Singles_4.png")</f>
        <v/>
      </c>
    </row>
    <row r="5" ht="36.0" customHeight="1">
      <c r="A5" s="16" t="s">
        <v>4621</v>
      </c>
      <c r="B5" s="16" t="str">
        <f>IMAGE("https://lmztiles.s3.eu-west-1.amazonaws.com/Modern_Interiors_v41.3.4/1_Interiors/16x16/Theme_Sorter_Singles/21_Clothing_Store_Singles/Clothing_Store_Singles_5.png")</f>
        <v/>
      </c>
    </row>
    <row r="6" ht="36.0" customHeight="1">
      <c r="A6" s="16" t="s">
        <v>4622</v>
      </c>
      <c r="B6" s="16" t="str">
        <f>IMAGE("https://lmztiles.s3.eu-west-1.amazonaws.com/Modern_Interiors_v41.3.4/1_Interiors/16x16/Theme_Sorter_Singles/21_Clothing_Store_Singles/Clothing_Store_Singles_6.png")</f>
        <v/>
      </c>
    </row>
    <row r="7" ht="36.0" customHeight="1">
      <c r="A7" s="16" t="s">
        <v>4623</v>
      </c>
      <c r="B7" s="16" t="str">
        <f>IMAGE("https://lmztiles.s3.eu-west-1.amazonaws.com/Modern_Interiors_v41.3.4/1_Interiors/16x16/Theme_Sorter_Singles/21_Clothing_Store_Singles/Clothing_Store_Singles_7.png")</f>
        <v/>
      </c>
    </row>
    <row r="8" ht="36.0" customHeight="1">
      <c r="A8" s="16" t="s">
        <v>4624</v>
      </c>
      <c r="B8" s="16" t="str">
        <f>IMAGE("https://lmztiles.s3.eu-west-1.amazonaws.com/Modern_Interiors_v41.3.4/1_Interiors/16x16/Theme_Sorter_Singles/21_Clothing_Store_Singles/Clothing_Store_Singles_8.png")</f>
        <v/>
      </c>
    </row>
    <row r="9" ht="36.0" customHeight="1">
      <c r="A9" s="16" t="s">
        <v>4625</v>
      </c>
      <c r="B9" s="16" t="str">
        <f>IMAGE("https://lmztiles.s3.eu-west-1.amazonaws.com/Modern_Interiors_v41.3.4/1_Interiors/16x16/Theme_Sorter_Singles/21_Clothing_Store_Singles/Clothing_Store_Singles_9.png")</f>
        <v/>
      </c>
    </row>
    <row r="10" ht="36.0" customHeight="1">
      <c r="A10" s="16" t="s">
        <v>4626</v>
      </c>
      <c r="B10" s="16" t="str">
        <f>IMAGE("https://lmztiles.s3.eu-west-1.amazonaws.com/Modern_Interiors_v41.3.4/1_Interiors/16x16/Theme_Sorter_Singles/21_Clothing_Store_Singles/Clothing_Store_Singles_10.png")</f>
        <v/>
      </c>
    </row>
    <row r="11" ht="36.0" customHeight="1">
      <c r="A11" s="16" t="s">
        <v>4627</v>
      </c>
      <c r="B11" s="16" t="str">
        <f>IMAGE("https://lmztiles.s3.eu-west-1.amazonaws.com/Modern_Interiors_v41.3.4/1_Interiors/16x16/Theme_Sorter_Singles/21_Clothing_Store_Singles/Clothing_Store_Singles_11.png")</f>
        <v/>
      </c>
    </row>
    <row r="12" ht="36.0" customHeight="1">
      <c r="A12" s="16" t="s">
        <v>4628</v>
      </c>
      <c r="B12" s="16" t="str">
        <f>IMAGE("https://lmztiles.s3.eu-west-1.amazonaws.com/Modern_Interiors_v41.3.4/1_Interiors/16x16/Theme_Sorter_Singles/21_Clothing_Store_Singles/Clothing_Store_Singles_12.png")</f>
        <v/>
      </c>
    </row>
    <row r="13" ht="36.0" customHeight="1">
      <c r="A13" s="16" t="s">
        <v>4629</v>
      </c>
      <c r="B13" s="16" t="str">
        <f>IMAGE("https://lmztiles.s3.eu-west-1.amazonaws.com/Modern_Interiors_v41.3.4/1_Interiors/16x16/Theme_Sorter_Singles/21_Clothing_Store_Singles/Clothing_Store_Singles_13.png")</f>
        <v/>
      </c>
    </row>
    <row r="14" ht="36.0" customHeight="1">
      <c r="A14" s="16" t="s">
        <v>4630</v>
      </c>
      <c r="B14" s="16" t="str">
        <f>IMAGE("https://lmztiles.s3.eu-west-1.amazonaws.com/Modern_Interiors_v41.3.4/1_Interiors/16x16/Theme_Sorter_Singles/21_Clothing_Store_Singles/Clothing_Store_Singles_14.png")</f>
        <v/>
      </c>
    </row>
    <row r="15" ht="36.0" customHeight="1">
      <c r="A15" s="16" t="s">
        <v>4631</v>
      </c>
      <c r="B15" s="16" t="str">
        <f>IMAGE("https://lmztiles.s3.eu-west-1.amazonaws.com/Modern_Interiors_v41.3.4/1_Interiors/16x16/Theme_Sorter_Singles/21_Clothing_Store_Singles/Clothing_Store_Singles_15.png")</f>
        <v/>
      </c>
    </row>
    <row r="16" ht="36.0" customHeight="1">
      <c r="A16" s="16" t="s">
        <v>4632</v>
      </c>
      <c r="B16" s="16" t="str">
        <f>IMAGE("https://lmztiles.s3.eu-west-1.amazonaws.com/Modern_Interiors_v41.3.4/1_Interiors/16x16/Theme_Sorter_Singles/21_Clothing_Store_Singles/Clothing_Store_Singles_16.png")</f>
        <v/>
      </c>
    </row>
    <row r="17" ht="36.0" customHeight="1">
      <c r="A17" s="16" t="s">
        <v>4633</v>
      </c>
      <c r="B17" s="16" t="str">
        <f>IMAGE("https://lmztiles.s3.eu-west-1.amazonaws.com/Modern_Interiors_v41.3.4/1_Interiors/16x16/Theme_Sorter_Singles/21_Clothing_Store_Singles/Clothing_Store_Singles_17.png")</f>
        <v/>
      </c>
    </row>
    <row r="18" ht="36.0" customHeight="1">
      <c r="A18" s="16" t="s">
        <v>4634</v>
      </c>
      <c r="B18" s="16" t="str">
        <f>IMAGE("https://lmztiles.s3.eu-west-1.amazonaws.com/Modern_Interiors_v41.3.4/1_Interiors/16x16/Theme_Sorter_Singles/21_Clothing_Store_Singles/Clothing_Store_Singles_18.png")</f>
        <v/>
      </c>
    </row>
    <row r="19" ht="36.0" customHeight="1">
      <c r="A19" s="16" t="s">
        <v>4635</v>
      </c>
      <c r="B19" s="16" t="str">
        <f>IMAGE("https://lmztiles.s3.eu-west-1.amazonaws.com/Modern_Interiors_v41.3.4/1_Interiors/16x16/Theme_Sorter_Singles/21_Clothing_Store_Singles/Clothing_Store_Singles_19.png")</f>
        <v/>
      </c>
    </row>
    <row r="20" ht="36.0" customHeight="1">
      <c r="A20" s="16" t="s">
        <v>4636</v>
      </c>
      <c r="B20" s="16" t="str">
        <f>IMAGE("https://lmztiles.s3.eu-west-1.amazonaws.com/Modern_Interiors_v41.3.4/1_Interiors/16x16/Theme_Sorter_Singles/21_Clothing_Store_Singles/Clothing_Store_Singles_20.png")</f>
        <v/>
      </c>
    </row>
    <row r="21" ht="36.0" customHeight="1">
      <c r="A21" s="16" t="s">
        <v>4637</v>
      </c>
      <c r="B21" s="16" t="str">
        <f>IMAGE("https://lmztiles.s3.eu-west-1.amazonaws.com/Modern_Interiors_v41.3.4/1_Interiors/16x16/Theme_Sorter_Singles/21_Clothing_Store_Singles/Clothing_Store_Singles_21.png")</f>
        <v/>
      </c>
    </row>
    <row r="22" ht="36.0" customHeight="1">
      <c r="A22" s="16" t="s">
        <v>4638</v>
      </c>
      <c r="B22" s="16" t="str">
        <f>IMAGE("https://lmztiles.s3.eu-west-1.amazonaws.com/Modern_Interiors_v41.3.4/1_Interiors/16x16/Theme_Sorter_Singles/21_Clothing_Store_Singles/Clothing_Store_Singles_22.png")</f>
        <v/>
      </c>
    </row>
    <row r="23" ht="36.0" customHeight="1">
      <c r="A23" s="16" t="s">
        <v>4639</v>
      </c>
      <c r="B23" s="16" t="str">
        <f>IMAGE("https://lmztiles.s3.eu-west-1.amazonaws.com/Modern_Interiors_v41.3.4/1_Interiors/16x16/Theme_Sorter_Singles/21_Clothing_Store_Singles/Clothing_Store_Singles_23.png")</f>
        <v/>
      </c>
    </row>
    <row r="24" ht="36.0" customHeight="1">
      <c r="A24" s="16" t="s">
        <v>4640</v>
      </c>
      <c r="B24" s="16" t="str">
        <f>IMAGE("https://lmztiles.s3.eu-west-1.amazonaws.com/Modern_Interiors_v41.3.4/1_Interiors/16x16/Theme_Sorter_Singles/21_Clothing_Store_Singles/Clothing_Store_Singles_24.png")</f>
        <v/>
      </c>
    </row>
    <row r="25" ht="36.0" customHeight="1">
      <c r="A25" s="16" t="s">
        <v>4641</v>
      </c>
      <c r="B25" s="16" t="str">
        <f>IMAGE("https://lmztiles.s3.eu-west-1.amazonaws.com/Modern_Interiors_v41.3.4/1_Interiors/16x16/Theme_Sorter_Singles/21_Clothing_Store_Singles/Clothing_Store_Singles_25.png")</f>
        <v/>
      </c>
    </row>
    <row r="26" ht="36.0" customHeight="1">
      <c r="A26" s="16" t="s">
        <v>4642</v>
      </c>
      <c r="B26" s="16" t="str">
        <f>IMAGE("https://lmztiles.s3.eu-west-1.amazonaws.com/Modern_Interiors_v41.3.4/1_Interiors/16x16/Theme_Sorter_Singles/21_Clothing_Store_Singles/Clothing_Store_Singles_26.png")</f>
        <v/>
      </c>
    </row>
    <row r="27" ht="36.0" customHeight="1">
      <c r="A27" s="16" t="s">
        <v>4643</v>
      </c>
      <c r="B27" s="16" t="str">
        <f>IMAGE("https://lmztiles.s3.eu-west-1.amazonaws.com/Modern_Interiors_v41.3.4/1_Interiors/16x16/Theme_Sorter_Singles/21_Clothing_Store_Singles/Clothing_Store_Singles_27.png")</f>
        <v/>
      </c>
    </row>
    <row r="28" ht="36.0" customHeight="1">
      <c r="A28" s="16" t="s">
        <v>4644</v>
      </c>
      <c r="B28" s="16" t="str">
        <f>IMAGE("https://lmztiles.s3.eu-west-1.amazonaws.com/Modern_Interiors_v41.3.4/1_Interiors/16x16/Theme_Sorter_Singles/21_Clothing_Store_Singles/Clothing_Store_Singles_28.png")</f>
        <v/>
      </c>
    </row>
    <row r="29" ht="36.0" customHeight="1">
      <c r="A29" s="16" t="s">
        <v>4645</v>
      </c>
      <c r="B29" s="16" t="str">
        <f>IMAGE("https://lmztiles.s3.eu-west-1.amazonaws.com/Modern_Interiors_v41.3.4/1_Interiors/16x16/Theme_Sorter_Singles/21_Clothing_Store_Singles/Clothing_Store_Singles_29.png")</f>
        <v/>
      </c>
    </row>
    <row r="30" ht="36.0" customHeight="1">
      <c r="A30" s="16" t="s">
        <v>4646</v>
      </c>
      <c r="B30" s="16" t="str">
        <f>IMAGE("https://lmztiles.s3.eu-west-1.amazonaws.com/Modern_Interiors_v41.3.4/1_Interiors/16x16/Theme_Sorter_Singles/21_Clothing_Store_Singles/Clothing_Store_Singles_30.png")</f>
        <v/>
      </c>
    </row>
    <row r="31" ht="36.0" customHeight="1">
      <c r="A31" s="16" t="s">
        <v>4647</v>
      </c>
      <c r="B31" s="16" t="str">
        <f>IMAGE("https://lmztiles.s3.eu-west-1.amazonaws.com/Modern_Interiors_v41.3.4/1_Interiors/16x16/Theme_Sorter_Singles/21_Clothing_Store_Singles/Clothing_Store_Singles_31.png")</f>
        <v/>
      </c>
    </row>
    <row r="32" ht="36.0" customHeight="1">
      <c r="A32" s="16" t="s">
        <v>4648</v>
      </c>
      <c r="B32" s="16" t="str">
        <f>IMAGE("https://lmztiles.s3.eu-west-1.amazonaws.com/Modern_Interiors_v41.3.4/1_Interiors/16x16/Theme_Sorter_Singles/21_Clothing_Store_Singles/Clothing_Store_Singles_32.png")</f>
        <v/>
      </c>
    </row>
    <row r="33" ht="36.0" customHeight="1">
      <c r="A33" s="16" t="s">
        <v>4649</v>
      </c>
      <c r="B33" s="16" t="str">
        <f>IMAGE("https://lmztiles.s3.eu-west-1.amazonaws.com/Modern_Interiors_v41.3.4/1_Interiors/16x16/Theme_Sorter_Singles/21_Clothing_Store_Singles/Clothing_Store_Singles_33.png")</f>
        <v/>
      </c>
    </row>
    <row r="34" ht="36.0" customHeight="1">
      <c r="A34" s="16" t="s">
        <v>4650</v>
      </c>
      <c r="B34" s="16" t="str">
        <f>IMAGE("https://lmztiles.s3.eu-west-1.amazonaws.com/Modern_Interiors_v41.3.4/1_Interiors/16x16/Theme_Sorter_Singles/21_Clothing_Store_Singles/Clothing_Store_Singles_34.png")</f>
        <v/>
      </c>
    </row>
    <row r="35" ht="36.0" customHeight="1">
      <c r="A35" s="16" t="s">
        <v>4651</v>
      </c>
      <c r="B35" s="16" t="str">
        <f>IMAGE("https://lmztiles.s3.eu-west-1.amazonaws.com/Modern_Interiors_v41.3.4/1_Interiors/16x16/Theme_Sorter_Singles/21_Clothing_Store_Singles/Clothing_Store_Singles_35.png")</f>
        <v/>
      </c>
    </row>
    <row r="36" ht="36.0" customHeight="1">
      <c r="A36" s="16" t="s">
        <v>4652</v>
      </c>
      <c r="B36" s="16" t="str">
        <f>IMAGE("https://lmztiles.s3.eu-west-1.amazonaws.com/Modern_Interiors_v41.3.4/1_Interiors/16x16/Theme_Sorter_Singles/21_Clothing_Store_Singles/Clothing_Store_Singles_36.png")</f>
        <v/>
      </c>
    </row>
    <row r="37" ht="36.0" customHeight="1">
      <c r="A37" s="16" t="s">
        <v>4653</v>
      </c>
      <c r="B37" s="16" t="str">
        <f>IMAGE("https://lmztiles.s3.eu-west-1.amazonaws.com/Modern_Interiors_v41.3.4/1_Interiors/16x16/Theme_Sorter_Singles/21_Clothing_Store_Singles/Clothing_Store_Singles_37.png")</f>
        <v/>
      </c>
    </row>
    <row r="38" ht="36.0" customHeight="1">
      <c r="A38" s="16" t="s">
        <v>4654</v>
      </c>
      <c r="B38" s="16" t="str">
        <f>IMAGE("https://lmztiles.s3.eu-west-1.amazonaws.com/Modern_Interiors_v41.3.4/1_Interiors/16x16/Theme_Sorter_Singles/21_Clothing_Store_Singles/Clothing_Store_Singles_38.png")</f>
        <v/>
      </c>
    </row>
    <row r="39" ht="36.0" customHeight="1">
      <c r="A39" s="16" t="s">
        <v>4655</v>
      </c>
      <c r="B39" s="16" t="str">
        <f>IMAGE("https://lmztiles.s3.eu-west-1.amazonaws.com/Modern_Interiors_v41.3.4/1_Interiors/16x16/Theme_Sorter_Singles/21_Clothing_Store_Singles/Clothing_Store_Singles_39.png")</f>
        <v/>
      </c>
    </row>
    <row r="40" ht="36.0" customHeight="1">
      <c r="A40" s="16" t="s">
        <v>4656</v>
      </c>
      <c r="B40" s="16" t="str">
        <f>IMAGE("https://lmztiles.s3.eu-west-1.amazonaws.com/Modern_Interiors_v41.3.4/1_Interiors/16x16/Theme_Sorter_Singles/21_Clothing_Store_Singles/Clothing_Store_Singles_40.png")</f>
        <v/>
      </c>
    </row>
    <row r="41" ht="36.0" customHeight="1">
      <c r="A41" s="16" t="s">
        <v>4657</v>
      </c>
      <c r="B41" s="16" t="str">
        <f>IMAGE("https://lmztiles.s3.eu-west-1.amazonaws.com/Modern_Interiors_v41.3.4/1_Interiors/16x16/Theme_Sorter_Singles/21_Clothing_Store_Singles/Clothing_Store_Singles_41.png")</f>
        <v/>
      </c>
    </row>
    <row r="42" ht="36.0" customHeight="1">
      <c r="A42" s="16" t="s">
        <v>4658</v>
      </c>
      <c r="B42" s="16" t="str">
        <f>IMAGE("https://lmztiles.s3.eu-west-1.amazonaws.com/Modern_Interiors_v41.3.4/1_Interiors/16x16/Theme_Sorter_Singles/21_Clothing_Store_Singles/Clothing_Store_Singles_42.png")</f>
        <v/>
      </c>
    </row>
    <row r="43" ht="36.0" customHeight="1">
      <c r="A43" s="16" t="s">
        <v>4659</v>
      </c>
      <c r="B43" s="16" t="str">
        <f>IMAGE("https://lmztiles.s3.eu-west-1.amazonaws.com/Modern_Interiors_v41.3.4/1_Interiors/16x16/Theme_Sorter_Singles/21_Clothing_Store_Singles/Clothing_Store_Singles_43.png")</f>
        <v/>
      </c>
    </row>
    <row r="44" ht="36.0" customHeight="1">
      <c r="A44" s="16" t="s">
        <v>4660</v>
      </c>
      <c r="B44" s="16" t="str">
        <f>IMAGE("https://lmztiles.s3.eu-west-1.amazonaws.com/Modern_Interiors_v41.3.4/1_Interiors/16x16/Theme_Sorter_Singles/21_Clothing_Store_Singles/Clothing_Store_Singles_44.png")</f>
        <v/>
      </c>
    </row>
    <row r="45" ht="36.0" customHeight="1">
      <c r="A45" s="16" t="s">
        <v>4661</v>
      </c>
      <c r="B45" s="16" t="str">
        <f>IMAGE("https://lmztiles.s3.eu-west-1.amazonaws.com/Modern_Interiors_v41.3.4/1_Interiors/16x16/Theme_Sorter_Singles/21_Clothing_Store_Singles/Clothing_Store_Singles_45.png")</f>
        <v/>
      </c>
    </row>
    <row r="46" ht="36.0" customHeight="1">
      <c r="A46" s="16" t="s">
        <v>4662</v>
      </c>
      <c r="B46" s="16" t="str">
        <f>IMAGE("https://lmztiles.s3.eu-west-1.amazonaws.com/Modern_Interiors_v41.3.4/1_Interiors/16x16/Theme_Sorter_Singles/21_Clothing_Store_Singles/Clothing_Store_Singles_47.png")</f>
        <v/>
      </c>
    </row>
    <row r="47" ht="36.0" customHeight="1">
      <c r="A47" s="16" t="s">
        <v>4663</v>
      </c>
      <c r="B47" s="16" t="str">
        <f>IMAGE("https://lmztiles.s3.eu-west-1.amazonaws.com/Modern_Interiors_v41.3.4/1_Interiors/16x16/Theme_Sorter_Singles/21_Clothing_Store_Singles/Clothing_Store_Singles_48.png")</f>
        <v/>
      </c>
    </row>
    <row r="48" ht="36.0" customHeight="1">
      <c r="A48" s="16" t="s">
        <v>4664</v>
      </c>
      <c r="B48" s="16" t="str">
        <f>IMAGE("https://lmztiles.s3.eu-west-1.amazonaws.com/Modern_Interiors_v41.3.4/1_Interiors/16x16/Theme_Sorter_Singles/21_Clothing_Store_Singles/Clothing_Store_Singles_49.png")</f>
        <v/>
      </c>
    </row>
    <row r="49" ht="36.0" customHeight="1">
      <c r="A49" s="16" t="s">
        <v>4665</v>
      </c>
      <c r="B49" s="16" t="str">
        <f>IMAGE("https://lmztiles.s3.eu-west-1.amazonaws.com/Modern_Interiors_v41.3.4/1_Interiors/16x16/Theme_Sorter_Singles/21_Clothing_Store_Singles/Clothing_Store_Singles_50.png")</f>
        <v/>
      </c>
    </row>
    <row r="50" ht="36.0" customHeight="1">
      <c r="A50" s="16" t="s">
        <v>4666</v>
      </c>
      <c r="B50" s="16" t="str">
        <f>IMAGE("https://lmztiles.s3.eu-west-1.amazonaws.com/Modern_Interiors_v41.3.4/1_Interiors/16x16/Theme_Sorter_Singles/21_Clothing_Store_Singles/Clothing_Store_Singles_51.png")</f>
        <v/>
      </c>
    </row>
    <row r="51" ht="36.0" customHeight="1">
      <c r="A51" s="16" t="s">
        <v>4667</v>
      </c>
      <c r="B51" s="16" t="str">
        <f>IMAGE("https://lmztiles.s3.eu-west-1.amazonaws.com/Modern_Interiors_v41.3.4/1_Interiors/16x16/Theme_Sorter_Singles/21_Clothing_Store_Singles/Clothing_Store_Singles_52.png")</f>
        <v/>
      </c>
    </row>
    <row r="52" ht="36.0" customHeight="1">
      <c r="A52" s="16" t="s">
        <v>4668</v>
      </c>
      <c r="B52" s="16" t="str">
        <f>IMAGE("https://lmztiles.s3.eu-west-1.amazonaws.com/Modern_Interiors_v41.3.4/1_Interiors/16x16/Theme_Sorter_Singles/21_Clothing_Store_Singles/Clothing_Store_Singles_53.png")</f>
        <v/>
      </c>
    </row>
    <row r="53" ht="36.0" customHeight="1">
      <c r="A53" s="16" t="s">
        <v>4669</v>
      </c>
      <c r="B53" s="16" t="str">
        <f>IMAGE("https://lmztiles.s3.eu-west-1.amazonaws.com/Modern_Interiors_v41.3.4/1_Interiors/16x16/Theme_Sorter_Singles/21_Clothing_Store_Singles/Clothing_Store_Singles_54.png")</f>
        <v/>
      </c>
    </row>
    <row r="54" ht="36.0" customHeight="1">
      <c r="A54" s="16" t="s">
        <v>4670</v>
      </c>
      <c r="B54" s="16" t="str">
        <f>IMAGE("https://lmztiles.s3.eu-west-1.amazonaws.com/Modern_Interiors_v41.3.4/1_Interiors/16x16/Theme_Sorter_Singles/21_Clothing_Store_Singles/Clothing_Store_Singles_55.png")</f>
        <v/>
      </c>
    </row>
    <row r="55" ht="36.0" customHeight="1">
      <c r="A55" s="16" t="s">
        <v>4671</v>
      </c>
      <c r="B55" s="16" t="str">
        <f>IMAGE("https://lmztiles.s3.eu-west-1.amazonaws.com/Modern_Interiors_v41.3.4/1_Interiors/16x16/Theme_Sorter_Singles/21_Clothing_Store_Singles/Clothing_Store_Singles_56.png")</f>
        <v/>
      </c>
    </row>
    <row r="56" ht="36.0" customHeight="1">
      <c r="A56" s="16" t="s">
        <v>4672</v>
      </c>
      <c r="B56" s="16" t="str">
        <f>IMAGE("https://lmztiles.s3.eu-west-1.amazonaws.com/Modern_Interiors_v41.3.4/1_Interiors/16x16/Theme_Sorter_Singles/21_Clothing_Store_Singles/Clothing_Store_Singles_57.png")</f>
        <v/>
      </c>
    </row>
    <row r="57" ht="36.0" customHeight="1">
      <c r="A57" s="16" t="s">
        <v>4673</v>
      </c>
      <c r="B57" s="16" t="str">
        <f>IMAGE("https://lmztiles.s3.eu-west-1.amazonaws.com/Modern_Interiors_v41.3.4/1_Interiors/16x16/Theme_Sorter_Singles/21_Clothing_Store_Singles/Clothing_Store_Singles_58.png")</f>
        <v/>
      </c>
    </row>
    <row r="58" ht="36.0" customHeight="1">
      <c r="A58" s="16" t="s">
        <v>4674</v>
      </c>
      <c r="B58" s="16" t="str">
        <f>IMAGE("https://lmztiles.s3.eu-west-1.amazonaws.com/Modern_Interiors_v41.3.4/1_Interiors/16x16/Theme_Sorter_Singles/21_Clothing_Store_Singles/Clothing_Store_Singles_59.png")</f>
        <v/>
      </c>
    </row>
    <row r="59" ht="36.0" customHeight="1">
      <c r="A59" s="16" t="s">
        <v>4675</v>
      </c>
      <c r="B59" s="16" t="str">
        <f>IMAGE("https://lmztiles.s3.eu-west-1.amazonaws.com/Modern_Interiors_v41.3.4/1_Interiors/16x16/Theme_Sorter_Singles/21_Clothing_Store_Singles/Clothing_Store_Singles_60.png")</f>
        <v/>
      </c>
    </row>
    <row r="60" ht="36.0" customHeight="1">
      <c r="A60" s="16" t="s">
        <v>4676</v>
      </c>
      <c r="B60" s="16" t="str">
        <f>IMAGE("https://lmztiles.s3.eu-west-1.amazonaws.com/Modern_Interiors_v41.3.4/1_Interiors/16x16/Theme_Sorter_Singles/21_Clothing_Store_Singles/Clothing_Store_Singles_61.png")</f>
        <v/>
      </c>
    </row>
    <row r="61" ht="36.0" customHeight="1">
      <c r="A61" s="16" t="s">
        <v>4677</v>
      </c>
      <c r="B61" s="16" t="str">
        <f>IMAGE("https://lmztiles.s3.eu-west-1.amazonaws.com/Modern_Interiors_v41.3.4/1_Interiors/16x16/Theme_Sorter_Singles/21_Clothing_Store_Singles/Clothing_Store_Singles_62.png")</f>
        <v/>
      </c>
    </row>
    <row r="62" ht="36.0" customHeight="1">
      <c r="A62" s="16" t="s">
        <v>4678</v>
      </c>
      <c r="B62" s="16" t="str">
        <f>IMAGE("https://lmztiles.s3.eu-west-1.amazonaws.com/Modern_Interiors_v41.3.4/1_Interiors/16x16/Theme_Sorter_Singles/21_Clothing_Store_Singles/Clothing_Store_Singles_63.png")</f>
        <v/>
      </c>
    </row>
    <row r="63" ht="36.0" customHeight="1">
      <c r="A63" s="16" t="s">
        <v>4679</v>
      </c>
      <c r="B63" s="16" t="str">
        <f>IMAGE("https://lmztiles.s3.eu-west-1.amazonaws.com/Modern_Interiors_v41.3.4/1_Interiors/16x16/Theme_Sorter_Singles/21_Clothing_Store_Singles/Clothing_Store_Singles_64.png")</f>
        <v/>
      </c>
    </row>
    <row r="64" ht="36.0" customHeight="1">
      <c r="A64" s="16" t="s">
        <v>4680</v>
      </c>
      <c r="B64" s="16" t="str">
        <f>IMAGE("https://lmztiles.s3.eu-west-1.amazonaws.com/Modern_Interiors_v41.3.4/1_Interiors/16x16/Theme_Sorter_Singles/21_Clothing_Store_Singles/Clothing_Store_Singles_65.png")</f>
        <v/>
      </c>
    </row>
    <row r="65" ht="36.0" customHeight="1">
      <c r="A65" s="16" t="s">
        <v>4681</v>
      </c>
      <c r="B65" s="16" t="str">
        <f>IMAGE("https://lmztiles.s3.eu-west-1.amazonaws.com/Modern_Interiors_v41.3.4/1_Interiors/16x16/Theme_Sorter_Singles/21_Clothing_Store_Singles/Clothing_Store_Singles_66.png")</f>
        <v/>
      </c>
    </row>
    <row r="66" ht="36.0" customHeight="1">
      <c r="A66" s="16" t="s">
        <v>4682</v>
      </c>
      <c r="B66" s="16" t="str">
        <f>IMAGE("https://lmztiles.s3.eu-west-1.amazonaws.com/Modern_Interiors_v41.3.4/1_Interiors/16x16/Theme_Sorter_Singles/21_Clothing_Store_Singles/Clothing_Store_Singles_67.png")</f>
        <v/>
      </c>
    </row>
    <row r="67" ht="36.0" customHeight="1">
      <c r="A67" s="16" t="s">
        <v>4683</v>
      </c>
      <c r="B67" s="16" t="str">
        <f>IMAGE("https://lmztiles.s3.eu-west-1.amazonaws.com/Modern_Interiors_v41.3.4/1_Interiors/16x16/Theme_Sorter_Singles/21_Clothing_Store_Singles/Clothing_Store_Singles_68.png")</f>
        <v/>
      </c>
    </row>
    <row r="68" ht="36.0" customHeight="1">
      <c r="A68" s="16" t="s">
        <v>4684</v>
      </c>
      <c r="B68" s="16" t="str">
        <f>IMAGE("https://lmztiles.s3.eu-west-1.amazonaws.com/Modern_Interiors_v41.3.4/1_Interiors/16x16/Theme_Sorter_Singles/21_Clothing_Store_Singles/Clothing_Store_Singles_69.png")</f>
        <v/>
      </c>
    </row>
    <row r="69" ht="36.0" customHeight="1">
      <c r="A69" s="16" t="s">
        <v>4685</v>
      </c>
      <c r="B69" s="16" t="str">
        <f>IMAGE("https://lmztiles.s3.eu-west-1.amazonaws.com/Modern_Interiors_v41.3.4/1_Interiors/16x16/Theme_Sorter_Singles/21_Clothing_Store_Singles/Clothing_Store_Singles_70.png")</f>
        <v/>
      </c>
    </row>
    <row r="70" ht="36.0" customHeight="1">
      <c r="A70" s="16" t="s">
        <v>4686</v>
      </c>
      <c r="B70" s="16" t="str">
        <f>IMAGE("https://lmztiles.s3.eu-west-1.amazonaws.com/Modern_Interiors_v41.3.4/1_Interiors/16x16/Theme_Sorter_Singles/21_Clothing_Store_Singles/Clothing_Store_Singles_71.png")</f>
        <v/>
      </c>
    </row>
    <row r="71" ht="36.0" customHeight="1">
      <c r="A71" s="16" t="s">
        <v>4687</v>
      </c>
      <c r="B71" s="16" t="str">
        <f>IMAGE("https://lmztiles.s3.eu-west-1.amazonaws.com/Modern_Interiors_v41.3.4/1_Interiors/16x16/Theme_Sorter_Singles/21_Clothing_Store_Singles/Clothing_Store_Singles_72.png")</f>
        <v/>
      </c>
    </row>
    <row r="72" ht="36.0" customHeight="1">
      <c r="A72" s="16" t="s">
        <v>4688</v>
      </c>
      <c r="B72" s="16" t="str">
        <f>IMAGE("https://lmztiles.s3.eu-west-1.amazonaws.com/Modern_Interiors_v41.3.4/1_Interiors/16x16/Theme_Sorter_Singles/21_Clothing_Store_Singles/Clothing_Store_Singles_73.png")</f>
        <v/>
      </c>
    </row>
    <row r="73" ht="36.0" customHeight="1">
      <c r="A73" s="16" t="s">
        <v>4689</v>
      </c>
      <c r="B73" s="16" t="str">
        <f>IMAGE("https://lmztiles.s3.eu-west-1.amazonaws.com/Modern_Interiors_v41.3.4/1_Interiors/16x16/Theme_Sorter_Singles/21_Clothing_Store_Singles/Clothing_Store_Singles_74.png")</f>
        <v/>
      </c>
    </row>
    <row r="74" ht="36.0" customHeight="1">
      <c r="A74" s="16" t="s">
        <v>4690</v>
      </c>
      <c r="B74" s="16" t="str">
        <f>IMAGE("https://lmztiles.s3.eu-west-1.amazonaws.com/Modern_Interiors_v41.3.4/1_Interiors/16x16/Theme_Sorter_Singles/21_Clothing_Store_Singles/Clothing_Store_Singles_75.png")</f>
        <v/>
      </c>
    </row>
    <row r="75" ht="36.0" customHeight="1">
      <c r="A75" s="16" t="s">
        <v>4691</v>
      </c>
      <c r="B75" s="16" t="str">
        <f>IMAGE("https://lmztiles.s3.eu-west-1.amazonaws.com/Modern_Interiors_v41.3.4/1_Interiors/16x16/Theme_Sorter_Singles/21_Clothing_Store_Singles/Clothing_Store_Singles_76.png")</f>
        <v/>
      </c>
    </row>
    <row r="76" ht="36.0" customHeight="1">
      <c r="A76" s="16" t="s">
        <v>4692</v>
      </c>
      <c r="B76" s="16" t="str">
        <f>IMAGE("https://lmztiles.s3.eu-west-1.amazonaws.com/Modern_Interiors_v41.3.4/1_Interiors/16x16/Theme_Sorter_Singles/21_Clothing_Store_Singles/Clothing_Store_Singles_77.png")</f>
        <v/>
      </c>
    </row>
    <row r="77" ht="36.0" customHeight="1">
      <c r="A77" s="16" t="s">
        <v>4693</v>
      </c>
      <c r="B77" s="16" t="str">
        <f>IMAGE("https://lmztiles.s3.eu-west-1.amazonaws.com/Modern_Interiors_v41.3.4/1_Interiors/16x16/Theme_Sorter_Singles/21_Clothing_Store_Singles/Clothing_Store_Singles_78.png")</f>
        <v/>
      </c>
    </row>
    <row r="78" ht="36.0" customHeight="1">
      <c r="A78" s="16" t="s">
        <v>4694</v>
      </c>
      <c r="B78" s="16" t="str">
        <f>IMAGE("https://lmztiles.s3.eu-west-1.amazonaws.com/Modern_Interiors_v41.3.4/1_Interiors/16x16/Theme_Sorter_Singles/21_Clothing_Store_Singles/Clothing_Store_Singles_79.png")</f>
        <v/>
      </c>
    </row>
    <row r="79" ht="36.0" customHeight="1">
      <c r="A79" s="16" t="s">
        <v>4695</v>
      </c>
      <c r="B79" s="16" t="str">
        <f>IMAGE("https://lmztiles.s3.eu-west-1.amazonaws.com/Modern_Interiors_v41.3.4/1_Interiors/16x16/Theme_Sorter_Singles/21_Clothing_Store_Singles/Clothing_Store_Singles_80.png")</f>
        <v/>
      </c>
    </row>
    <row r="80" ht="36.0" customHeight="1">
      <c r="A80" s="16" t="s">
        <v>4696</v>
      </c>
      <c r="B80" s="16" t="str">
        <f>IMAGE("https://lmztiles.s3.eu-west-1.amazonaws.com/Modern_Interiors_v41.3.4/1_Interiors/16x16/Theme_Sorter_Singles/21_Clothing_Store_Singles/Clothing_Store_Singles_81.png")</f>
        <v/>
      </c>
    </row>
    <row r="81" ht="36.0" customHeight="1">
      <c r="A81" s="16" t="s">
        <v>4697</v>
      </c>
      <c r="B81" s="16" t="str">
        <f>IMAGE("https://lmztiles.s3.eu-west-1.amazonaws.com/Modern_Interiors_v41.3.4/1_Interiors/16x16/Theme_Sorter_Singles/21_Clothing_Store_Singles/Clothing_Store_Singles_82.png")</f>
        <v/>
      </c>
    </row>
    <row r="82" ht="36.0" customHeight="1">
      <c r="A82" s="16" t="s">
        <v>4698</v>
      </c>
      <c r="B82" s="16" t="str">
        <f>IMAGE("https://lmztiles.s3.eu-west-1.amazonaws.com/Modern_Interiors_v41.3.4/1_Interiors/16x16/Theme_Sorter_Singles/21_Clothing_Store_Singles/Clothing_Store_Singles_83.png")</f>
        <v/>
      </c>
    </row>
    <row r="83" ht="36.0" customHeight="1">
      <c r="A83" s="16" t="s">
        <v>4699</v>
      </c>
      <c r="B83" s="16" t="str">
        <f>IMAGE("https://lmztiles.s3.eu-west-1.amazonaws.com/Modern_Interiors_v41.3.4/1_Interiors/16x16/Theme_Sorter_Singles/21_Clothing_Store_Singles/Clothing_Store_Singles_84.png")</f>
        <v/>
      </c>
    </row>
    <row r="84" ht="36.0" customHeight="1">
      <c r="A84" s="16" t="s">
        <v>4700</v>
      </c>
      <c r="B84" s="16" t="str">
        <f>IMAGE("https://lmztiles.s3.eu-west-1.amazonaws.com/Modern_Interiors_v41.3.4/1_Interiors/16x16/Theme_Sorter_Singles/21_Clothing_Store_Singles/Clothing_Store_Singles_85.png")</f>
        <v/>
      </c>
    </row>
    <row r="85" ht="36.0" customHeight="1">
      <c r="A85" s="16" t="s">
        <v>4701</v>
      </c>
      <c r="B85" s="16" t="str">
        <f>IMAGE("https://lmztiles.s3.eu-west-1.amazonaws.com/Modern_Interiors_v41.3.4/1_Interiors/16x16/Theme_Sorter_Singles/21_Clothing_Store_Singles/Clothing_Store_Singles_86.png")</f>
        <v/>
      </c>
    </row>
    <row r="86" ht="36.0" customHeight="1">
      <c r="A86" s="16" t="s">
        <v>4702</v>
      </c>
      <c r="B86" s="16" t="str">
        <f>IMAGE("https://lmztiles.s3.eu-west-1.amazonaws.com/Modern_Interiors_v41.3.4/1_Interiors/16x16/Theme_Sorter_Singles/21_Clothing_Store_Singles/Clothing_Store_Singles_87.png")</f>
        <v/>
      </c>
    </row>
    <row r="87" ht="36.0" customHeight="1">
      <c r="A87" s="16" t="s">
        <v>4703</v>
      </c>
      <c r="B87" s="16" t="str">
        <f>IMAGE("https://lmztiles.s3.eu-west-1.amazonaws.com/Modern_Interiors_v41.3.4/1_Interiors/16x16/Theme_Sorter_Singles/21_Clothing_Store_Singles/Clothing_Store_Singles_88.png")</f>
        <v/>
      </c>
    </row>
    <row r="88" ht="36.0" customHeight="1">
      <c r="A88" s="16" t="s">
        <v>4704</v>
      </c>
      <c r="B88" s="16" t="str">
        <f>IMAGE("https://lmztiles.s3.eu-west-1.amazonaws.com/Modern_Interiors_v41.3.4/1_Interiors/16x16/Theme_Sorter_Singles/21_Clothing_Store_Singles/Clothing_Store_Singles_89.png")</f>
        <v/>
      </c>
    </row>
    <row r="89" ht="36.0" customHeight="1">
      <c r="A89" s="16" t="s">
        <v>4705</v>
      </c>
      <c r="B89" s="16" t="str">
        <f>IMAGE("https://lmztiles.s3.eu-west-1.amazonaws.com/Modern_Interiors_v41.3.4/1_Interiors/16x16/Theme_Sorter_Singles/21_Clothing_Store_Singles/Clothing_Store_Singles_90.png")</f>
        <v/>
      </c>
    </row>
    <row r="90" ht="36.0" customHeight="1">
      <c r="A90" s="16" t="s">
        <v>4706</v>
      </c>
      <c r="B90" s="16" t="str">
        <f>IMAGE("https://lmztiles.s3.eu-west-1.amazonaws.com/Modern_Interiors_v41.3.4/1_Interiors/16x16/Theme_Sorter_Singles/21_Clothing_Store_Singles/Clothing_Store_Singles_91.png")</f>
        <v/>
      </c>
    </row>
    <row r="91" ht="36.0" customHeight="1">
      <c r="A91" s="16" t="s">
        <v>4707</v>
      </c>
      <c r="B91" s="16" t="str">
        <f>IMAGE("https://lmztiles.s3.eu-west-1.amazonaws.com/Modern_Interiors_v41.3.4/1_Interiors/16x16/Theme_Sorter_Singles/21_Clothing_Store_Singles/Clothing_Store_Singles_92.png")</f>
        <v/>
      </c>
    </row>
    <row r="92" ht="36.0" customHeight="1">
      <c r="A92" s="16" t="s">
        <v>4708</v>
      </c>
      <c r="B92" s="16" t="str">
        <f>IMAGE("https://lmztiles.s3.eu-west-1.amazonaws.com/Modern_Interiors_v41.3.4/1_Interiors/16x16/Theme_Sorter_Singles/21_Clothing_Store_Singles/Clothing_Store_Singles_93.png")</f>
        <v/>
      </c>
    </row>
    <row r="93" ht="36.0" customHeight="1">
      <c r="A93" s="16" t="s">
        <v>4709</v>
      </c>
      <c r="B93" s="16" t="str">
        <f>IMAGE("https://lmztiles.s3.eu-west-1.amazonaws.com/Modern_Interiors_v41.3.4/1_Interiors/16x16/Theme_Sorter_Singles/21_Clothing_Store_Singles/Clothing_Store_Singles_94.png")</f>
        <v/>
      </c>
    </row>
    <row r="94" ht="36.0" customHeight="1">
      <c r="A94" s="16" t="s">
        <v>4710</v>
      </c>
      <c r="B94" s="16" t="str">
        <f>IMAGE("https://lmztiles.s3.eu-west-1.amazonaws.com/Modern_Interiors_v41.3.4/1_Interiors/16x16/Theme_Sorter_Singles/21_Clothing_Store_Singles/Clothing_Store_Singles_95.png")</f>
        <v/>
      </c>
    </row>
    <row r="95" ht="36.0" customHeight="1">
      <c r="A95" s="16" t="s">
        <v>4711</v>
      </c>
      <c r="B95" s="16" t="str">
        <f>IMAGE("https://lmztiles.s3.eu-west-1.amazonaws.com/Modern_Interiors_v41.3.4/1_Interiors/16x16/Theme_Sorter_Singles/21_Clothing_Store_Singles/Clothing_Store_Singles_96.png")</f>
        <v/>
      </c>
    </row>
    <row r="96" ht="36.0" customHeight="1">
      <c r="A96" s="16" t="s">
        <v>4712</v>
      </c>
      <c r="B96" s="16" t="str">
        <f>IMAGE("https://lmztiles.s3.eu-west-1.amazonaws.com/Modern_Interiors_v41.3.4/1_Interiors/16x16/Theme_Sorter_Singles/21_Clothing_Store_Singles/Clothing_Store_Singles_97.png")</f>
        <v/>
      </c>
    </row>
    <row r="97" ht="36.0" customHeight="1">
      <c r="A97" s="16" t="s">
        <v>4713</v>
      </c>
      <c r="B97" s="16" t="str">
        <f>IMAGE("https://lmztiles.s3.eu-west-1.amazonaws.com/Modern_Interiors_v41.3.4/1_Interiors/16x16/Theme_Sorter_Singles/21_Clothing_Store_Singles/Clothing_Store_Singles_98.png")</f>
        <v/>
      </c>
    </row>
    <row r="98" ht="36.0" customHeight="1">
      <c r="A98" s="16" t="s">
        <v>4714</v>
      </c>
      <c r="B98" s="16" t="str">
        <f>IMAGE("https://lmztiles.s3.eu-west-1.amazonaws.com/Modern_Interiors_v41.3.4/1_Interiors/16x16/Theme_Sorter_Singles/21_Clothing_Store_Singles/Clothing_Store_Singles_99.png")</f>
        <v/>
      </c>
    </row>
    <row r="99" ht="36.0" customHeight="1">
      <c r="A99" s="16" t="s">
        <v>4715</v>
      </c>
      <c r="B99" s="16" t="str">
        <f>IMAGE("https://lmztiles.s3.eu-west-1.amazonaws.com/Modern_Interiors_v41.3.4/1_Interiors/16x16/Theme_Sorter_Singles/21_Clothing_Store_Singles/Clothing_Store_Singles_100.png")</f>
        <v/>
      </c>
    </row>
    <row r="100" ht="36.0" customHeight="1">
      <c r="A100" s="16" t="s">
        <v>4716</v>
      </c>
      <c r="B100" s="16" t="str">
        <f>IMAGE("https://lmztiles.s3.eu-west-1.amazonaws.com/Modern_Interiors_v41.3.4/1_Interiors/16x16/Theme_Sorter_Singles/21_Clothing_Store_Singles/Clothing_Store_Singles_101.png")</f>
        <v/>
      </c>
    </row>
    <row r="101" ht="36.0" customHeight="1">
      <c r="A101" s="16" t="s">
        <v>4717</v>
      </c>
      <c r="B101" s="16" t="str">
        <f>IMAGE("https://lmztiles.s3.eu-west-1.amazonaws.com/Modern_Interiors_v41.3.4/1_Interiors/16x16/Theme_Sorter_Singles/21_Clothing_Store_Singles/Clothing_Store_Singles_102.png")</f>
        <v/>
      </c>
    </row>
    <row r="102" ht="36.0" customHeight="1">
      <c r="A102" s="16" t="s">
        <v>4718</v>
      </c>
      <c r="B102" s="16" t="str">
        <f>IMAGE("https://lmztiles.s3.eu-west-1.amazonaws.com/Modern_Interiors_v41.3.4/1_Interiors/16x16/Theme_Sorter_Singles/21_Clothing_Store_Singles/Clothing_Store_Singles_103.png")</f>
        <v/>
      </c>
    </row>
    <row r="103" ht="36.0" customHeight="1">
      <c r="A103" s="16" t="s">
        <v>4719</v>
      </c>
      <c r="B103" s="16" t="str">
        <f>IMAGE("https://lmztiles.s3.eu-west-1.amazonaws.com/Modern_Interiors_v41.3.4/1_Interiors/16x16/Theme_Sorter_Singles/21_Clothing_Store_Singles/Clothing_Store_Singles_104.png")</f>
        <v/>
      </c>
    </row>
    <row r="104" ht="36.0" customHeight="1">
      <c r="A104" s="16" t="s">
        <v>4720</v>
      </c>
      <c r="B104" s="16" t="str">
        <f>IMAGE("https://lmztiles.s3.eu-west-1.amazonaws.com/Modern_Interiors_v41.3.4/1_Interiors/16x16/Theme_Sorter_Singles/21_Clothing_Store_Singles/Clothing_Store_Singles_105.png")</f>
        <v/>
      </c>
    </row>
    <row r="105" ht="36.0" customHeight="1">
      <c r="A105" s="16" t="s">
        <v>4721</v>
      </c>
      <c r="B105" s="16" t="str">
        <f>IMAGE("https://lmztiles.s3.eu-west-1.amazonaws.com/Modern_Interiors_v41.3.4/1_Interiors/16x16/Theme_Sorter_Singles/21_Clothing_Store_Singles/Clothing_Store_Singles_106.png")</f>
        <v/>
      </c>
    </row>
    <row r="106" ht="36.0" customHeight="1">
      <c r="A106" s="16" t="s">
        <v>4722</v>
      </c>
      <c r="B106" s="16" t="str">
        <f>IMAGE("https://lmztiles.s3.eu-west-1.amazonaws.com/Modern_Interiors_v41.3.4/1_Interiors/16x16/Theme_Sorter_Singles/21_Clothing_Store_Singles/Clothing_Store_Singles_107.png")</f>
        <v/>
      </c>
    </row>
    <row r="107" ht="36.0" customHeight="1">
      <c r="A107" s="16" t="s">
        <v>4723</v>
      </c>
      <c r="B107" s="16" t="str">
        <f>IMAGE("https://lmztiles.s3.eu-west-1.amazonaws.com/Modern_Interiors_v41.3.4/1_Interiors/16x16/Theme_Sorter_Singles/21_Clothing_Store_Singles/Clothing_Store_Singles_108.png")</f>
        <v/>
      </c>
    </row>
    <row r="108" ht="36.0" customHeight="1">
      <c r="A108" s="16" t="s">
        <v>4724</v>
      </c>
      <c r="B108" s="16" t="str">
        <f>IMAGE("https://lmztiles.s3.eu-west-1.amazonaws.com/Modern_Interiors_v41.3.4/1_Interiors/16x16/Theme_Sorter_Singles/21_Clothing_Store_Singles/Clothing_Store_Singles_109.png")</f>
        <v/>
      </c>
    </row>
    <row r="109" ht="36.0" customHeight="1">
      <c r="A109" s="16" t="s">
        <v>4725</v>
      </c>
      <c r="B109" s="16" t="str">
        <f>IMAGE("https://lmztiles.s3.eu-west-1.amazonaws.com/Modern_Interiors_v41.3.4/1_Interiors/16x16/Theme_Sorter_Singles/21_Clothing_Store_Singles/Clothing_Store_Singles_110.png")</f>
        <v/>
      </c>
    </row>
    <row r="110" ht="36.0" customHeight="1">
      <c r="A110" s="16" t="s">
        <v>4726</v>
      </c>
      <c r="B110" s="16" t="str">
        <f>IMAGE("https://lmztiles.s3.eu-west-1.amazonaws.com/Modern_Interiors_v41.3.4/1_Interiors/16x16/Theme_Sorter_Singles/21_Clothing_Store_Singles/Clothing_Store_Singles_111.png")</f>
        <v/>
      </c>
    </row>
    <row r="111" ht="36.0" customHeight="1">
      <c r="A111" s="16" t="s">
        <v>4727</v>
      </c>
      <c r="B111" s="16" t="str">
        <f>IMAGE("https://lmztiles.s3.eu-west-1.amazonaws.com/Modern_Interiors_v41.3.4/1_Interiors/16x16/Theme_Sorter_Singles/21_Clothing_Store_Singles/Clothing_Store_Singles_112.png")</f>
        <v/>
      </c>
    </row>
    <row r="112" ht="36.0" customHeight="1">
      <c r="A112" s="16" t="s">
        <v>4728</v>
      </c>
      <c r="B112" s="16" t="str">
        <f>IMAGE("https://lmztiles.s3.eu-west-1.amazonaws.com/Modern_Interiors_v41.3.4/1_Interiors/16x16/Theme_Sorter_Singles/21_Clothing_Store_Singles/Clothing_Store_Singles_113.png")</f>
        <v/>
      </c>
    </row>
    <row r="113" ht="36.0" customHeight="1">
      <c r="A113" s="16" t="s">
        <v>4729</v>
      </c>
      <c r="B113" s="16" t="str">
        <f>IMAGE("https://lmztiles.s3.eu-west-1.amazonaws.com/Modern_Interiors_v41.3.4/1_Interiors/16x16/Theme_Sorter_Singles/21_Clothing_Store_Singles/Clothing_Store_Singles_114.png")</f>
        <v/>
      </c>
    </row>
    <row r="114" ht="36.0" customHeight="1">
      <c r="A114" s="16" t="s">
        <v>4730</v>
      </c>
      <c r="B114" s="16" t="str">
        <f>IMAGE("https://lmztiles.s3.eu-west-1.amazonaws.com/Modern_Interiors_v41.3.4/1_Interiors/16x16/Theme_Sorter_Singles/21_Clothing_Store_Singles/Clothing_Store_Singles_115.png")</f>
        <v/>
      </c>
    </row>
    <row r="115" ht="36.0" customHeight="1">
      <c r="A115" s="16" t="s">
        <v>4731</v>
      </c>
      <c r="B115" s="16" t="str">
        <f>IMAGE("https://lmztiles.s3.eu-west-1.amazonaws.com/Modern_Interiors_v41.3.4/1_Interiors/16x16/Theme_Sorter_Singles/21_Clothing_Store_Singles/Clothing_Store_Singles_116.png")</f>
        <v/>
      </c>
    </row>
    <row r="116" ht="36.0" customHeight="1">
      <c r="A116" s="16" t="s">
        <v>4732</v>
      </c>
      <c r="B116" s="16" t="str">
        <f>IMAGE("https://lmztiles.s3.eu-west-1.amazonaws.com/Modern_Interiors_v41.3.4/1_Interiors/16x16/Theme_Sorter_Singles/21_Clothing_Store_Singles/Clothing_Store_Singles_117.png")</f>
        <v/>
      </c>
    </row>
    <row r="117" ht="36.0" customHeight="1">
      <c r="A117" s="16" t="s">
        <v>4733</v>
      </c>
      <c r="B117" s="16" t="str">
        <f>IMAGE("https://lmztiles.s3.eu-west-1.amazonaws.com/Modern_Interiors_v41.3.4/1_Interiors/16x16/Theme_Sorter_Singles/21_Clothing_Store_Singles/Clothing_Store_Singles_118.png")</f>
        <v/>
      </c>
    </row>
    <row r="118" ht="36.0" customHeight="1">
      <c r="A118" s="16" t="s">
        <v>4734</v>
      </c>
      <c r="B118" s="16" t="str">
        <f>IMAGE("https://lmztiles.s3.eu-west-1.amazonaws.com/Modern_Interiors_v41.3.4/1_Interiors/16x16/Theme_Sorter_Singles/21_Clothing_Store_Singles/Clothing_Store_Singles_119.png")</f>
        <v/>
      </c>
    </row>
    <row r="119" ht="36.0" customHeight="1">
      <c r="A119" s="16" t="s">
        <v>4735</v>
      </c>
      <c r="B119" s="16" t="str">
        <f>IMAGE("https://lmztiles.s3.eu-west-1.amazonaws.com/Modern_Interiors_v41.3.4/1_Interiors/16x16/Theme_Sorter_Singles/21_Clothing_Store_Singles/Clothing_Store_Singles_120.png")</f>
        <v/>
      </c>
    </row>
    <row r="120" ht="36.0" customHeight="1">
      <c r="A120" s="16" t="s">
        <v>4736</v>
      </c>
      <c r="B120" s="16" t="str">
        <f>IMAGE("https://lmztiles.s3.eu-west-1.amazonaws.com/Modern_Interiors_v41.3.4/1_Interiors/16x16/Theme_Sorter_Singles/21_Clothing_Store_Singles/Clothing_Store_Singles_121.png")</f>
        <v/>
      </c>
    </row>
    <row r="121" ht="36.0" customHeight="1">
      <c r="A121" s="16" t="s">
        <v>4737</v>
      </c>
      <c r="B121" s="16" t="str">
        <f>IMAGE("https://lmztiles.s3.eu-west-1.amazonaws.com/Modern_Interiors_v41.3.4/1_Interiors/16x16/Theme_Sorter_Singles/21_Clothing_Store_Singles/Clothing_Store_Singles_122.png")</f>
        <v/>
      </c>
    </row>
    <row r="122" ht="36.0" customHeight="1">
      <c r="A122" s="16" t="s">
        <v>4738</v>
      </c>
      <c r="B122" s="16" t="str">
        <f>IMAGE("https://lmztiles.s3.eu-west-1.amazonaws.com/Modern_Interiors_v41.3.4/1_Interiors/16x16/Theme_Sorter_Singles/21_Clothing_Store_Singles/Clothing_Store_Singles_123.png")</f>
        <v/>
      </c>
    </row>
    <row r="123" ht="36.0" customHeight="1">
      <c r="A123" s="16" t="s">
        <v>4739</v>
      </c>
      <c r="B123" s="16" t="str">
        <f>IMAGE("https://lmztiles.s3.eu-west-1.amazonaws.com/Modern_Interiors_v41.3.4/1_Interiors/16x16/Theme_Sorter_Singles/21_Clothing_Store_Singles/Clothing_Store_Singles_124.png")</f>
        <v/>
      </c>
    </row>
    <row r="124" ht="36.0" customHeight="1">
      <c r="A124" s="16" t="s">
        <v>4740</v>
      </c>
      <c r="B124" s="16" t="str">
        <f>IMAGE("https://lmztiles.s3.eu-west-1.amazonaws.com/Modern_Interiors_v41.3.4/1_Interiors/16x16/Theme_Sorter_Singles/21_Clothing_Store_Singles/Clothing_Store_Singles_125.png")</f>
        <v/>
      </c>
    </row>
    <row r="125" ht="36.0" customHeight="1">
      <c r="A125" s="16" t="s">
        <v>4741</v>
      </c>
      <c r="B125" s="16" t="str">
        <f>IMAGE("https://lmztiles.s3.eu-west-1.amazonaws.com/Modern_Interiors_v41.3.4/1_Interiors/16x16/Theme_Sorter_Singles/21_Clothing_Store_Singles/Clothing_Store_Singles_126.png")</f>
        <v/>
      </c>
    </row>
    <row r="126" ht="36.0" customHeight="1">
      <c r="A126" s="16" t="s">
        <v>4742</v>
      </c>
      <c r="B126" s="16" t="str">
        <f>IMAGE("https://lmztiles.s3.eu-west-1.amazonaws.com/Modern_Interiors_v41.3.4/1_Interiors/16x16/Theme_Sorter_Singles/21_Clothing_Store_Singles/Clothing_Store_Singles_127.png")</f>
        <v/>
      </c>
    </row>
    <row r="127" ht="36.0" customHeight="1">
      <c r="A127" s="16" t="s">
        <v>4743</v>
      </c>
      <c r="B127" s="16" t="str">
        <f>IMAGE("https://lmztiles.s3.eu-west-1.amazonaws.com/Modern_Interiors_v41.3.4/1_Interiors/16x16/Theme_Sorter_Singles/21_Clothing_Store_Singles/Clothing_Store_Singles_128.png")</f>
        <v/>
      </c>
    </row>
    <row r="128" ht="36.0" customHeight="1">
      <c r="A128" s="16" t="s">
        <v>4744</v>
      </c>
      <c r="B128" s="16" t="str">
        <f>IMAGE("https://lmztiles.s3.eu-west-1.amazonaws.com/Modern_Interiors_v41.3.4/1_Interiors/16x16/Theme_Sorter_Singles/21_Clothing_Store_Singles/Clothing_Store_Singles_129.png")</f>
        <v/>
      </c>
    </row>
    <row r="129" ht="36.0" customHeight="1">
      <c r="A129" s="16" t="s">
        <v>4745</v>
      </c>
      <c r="B129" s="16" t="str">
        <f>IMAGE("https://lmztiles.s3.eu-west-1.amazonaws.com/Modern_Interiors_v41.3.4/1_Interiors/16x16/Theme_Sorter_Singles/21_Clothing_Store_Singles/Clothing_Store_Singles_130.png")</f>
        <v/>
      </c>
    </row>
    <row r="130" ht="36.0" customHeight="1">
      <c r="A130" s="16" t="s">
        <v>4746</v>
      </c>
      <c r="B130" s="16" t="str">
        <f>IMAGE("https://lmztiles.s3.eu-west-1.amazonaws.com/Modern_Interiors_v41.3.4/1_Interiors/16x16/Theme_Sorter_Singles/21_Clothing_Store_Singles/Clothing_Store_Singles_131.png")</f>
        <v/>
      </c>
    </row>
    <row r="131" ht="36.0" customHeight="1">
      <c r="A131" s="16" t="s">
        <v>4747</v>
      </c>
      <c r="B131" s="16" t="str">
        <f>IMAGE("https://lmztiles.s3.eu-west-1.amazonaws.com/Modern_Interiors_v41.3.4/1_Interiors/16x16/Theme_Sorter_Singles/21_Clothing_Store_Singles/Clothing_Store_Singles_132.png")</f>
        <v/>
      </c>
    </row>
    <row r="132" ht="36.0" customHeight="1">
      <c r="A132" s="16" t="s">
        <v>4748</v>
      </c>
      <c r="B132" s="16" t="str">
        <f>IMAGE("https://lmztiles.s3.eu-west-1.amazonaws.com/Modern_Interiors_v41.3.4/1_Interiors/16x16/Theme_Sorter_Singles/21_Clothing_Store_Singles/Clothing_Store_Singles_133.png")</f>
        <v/>
      </c>
    </row>
    <row r="133" ht="36.0" customHeight="1">
      <c r="A133" s="16" t="s">
        <v>4749</v>
      </c>
      <c r="B133" s="16" t="str">
        <f>IMAGE("https://lmztiles.s3.eu-west-1.amazonaws.com/Modern_Interiors_v41.3.4/1_Interiors/16x16/Theme_Sorter_Singles/21_Clothing_Store_Singles/Clothing_Store_Singles_134.png")</f>
        <v/>
      </c>
    </row>
    <row r="134" ht="36.0" customHeight="1">
      <c r="A134" s="16" t="s">
        <v>4750</v>
      </c>
      <c r="B134" s="16" t="str">
        <f>IMAGE("https://lmztiles.s3.eu-west-1.amazonaws.com/Modern_Interiors_v41.3.4/1_Interiors/16x16/Theme_Sorter_Singles/21_Clothing_Store_Singles/Clothing_Store_Singles_135.png")</f>
        <v/>
      </c>
    </row>
    <row r="135" ht="36.0" customHeight="1">
      <c r="A135" s="16" t="s">
        <v>4751</v>
      </c>
      <c r="B135" s="16" t="str">
        <f>IMAGE("https://lmztiles.s3.eu-west-1.amazonaws.com/Modern_Interiors_v41.3.4/1_Interiors/16x16/Theme_Sorter_Singles/21_Clothing_Store_Singles/Clothing_Store_Singles_136.png")</f>
        <v/>
      </c>
    </row>
    <row r="136" ht="36.0" customHeight="1">
      <c r="A136" s="16" t="s">
        <v>4752</v>
      </c>
      <c r="B136" s="16" t="str">
        <f>IMAGE("https://lmztiles.s3.eu-west-1.amazonaws.com/Modern_Interiors_v41.3.4/1_Interiors/16x16/Theme_Sorter_Singles/21_Clothing_Store_Singles/Clothing_Store_Singles_137.png")</f>
        <v/>
      </c>
    </row>
    <row r="137" ht="36.0" customHeight="1">
      <c r="A137" s="16" t="s">
        <v>4753</v>
      </c>
      <c r="B137" s="16" t="str">
        <f>IMAGE("https://lmztiles.s3.eu-west-1.amazonaws.com/Modern_Interiors_v41.3.4/1_Interiors/16x16/Theme_Sorter_Singles/21_Clothing_Store_Singles/Clothing_Store_Singles_138.png")</f>
        <v/>
      </c>
    </row>
    <row r="138" ht="36.0" customHeight="1">
      <c r="A138" s="16" t="s">
        <v>4754</v>
      </c>
      <c r="B138" s="16" t="str">
        <f>IMAGE("https://lmztiles.s3.eu-west-1.amazonaws.com/Modern_Interiors_v41.3.4/1_Interiors/16x16/Theme_Sorter_Singles/21_Clothing_Store_Singles/Clothing_Store_Singles_139.png")</f>
        <v/>
      </c>
    </row>
    <row r="139" ht="36.0" customHeight="1">
      <c r="A139" s="16" t="s">
        <v>4755</v>
      </c>
      <c r="B139" s="16" t="str">
        <f>IMAGE("https://lmztiles.s3.eu-west-1.amazonaws.com/Modern_Interiors_v41.3.4/1_Interiors/16x16/Theme_Sorter_Singles/21_Clothing_Store_Singles/Clothing_Store_Singles_140.png")</f>
        <v/>
      </c>
    </row>
    <row r="140" ht="36.0" customHeight="1">
      <c r="A140" s="16" t="s">
        <v>4756</v>
      </c>
      <c r="B140" s="16" t="str">
        <f>IMAGE("https://lmztiles.s3.eu-west-1.amazonaws.com/Modern_Interiors_v41.3.4/1_Interiors/16x16/Theme_Sorter_Singles/21_Clothing_Store_Singles/Clothing_Store_Singles_141.png")</f>
        <v/>
      </c>
    </row>
    <row r="141" ht="36.0" customHeight="1">
      <c r="A141" s="16" t="s">
        <v>4757</v>
      </c>
      <c r="B141" s="16" t="str">
        <f>IMAGE("https://lmztiles.s3.eu-west-1.amazonaws.com/Modern_Interiors_v41.3.4/1_Interiors/16x16/Theme_Sorter_Singles/21_Clothing_Store_Singles/Clothing_Store_Singles_142.png")</f>
        <v/>
      </c>
    </row>
    <row r="142" ht="36.0" customHeight="1">
      <c r="A142" s="16" t="s">
        <v>4758</v>
      </c>
      <c r="B142" s="16" t="str">
        <f>IMAGE("https://lmztiles.s3.eu-west-1.amazonaws.com/Modern_Interiors_v41.3.4/1_Interiors/16x16/Theme_Sorter_Singles/21_Clothing_Store_Singles/Clothing_Store_Singles_143.png")</f>
        <v/>
      </c>
    </row>
    <row r="143" ht="36.0" customHeight="1">
      <c r="A143" s="16" t="s">
        <v>4759</v>
      </c>
      <c r="B143" s="16" t="str">
        <f>IMAGE("https://lmztiles.s3.eu-west-1.amazonaws.com/Modern_Interiors_v41.3.4/1_Interiors/16x16/Theme_Sorter_Singles/21_Clothing_Store_Singles/Clothing_Store_Singles_144.png")</f>
        <v/>
      </c>
    </row>
    <row r="144" ht="36.0" customHeight="1">
      <c r="A144" s="16" t="s">
        <v>4760</v>
      </c>
      <c r="B144" s="16" t="str">
        <f>IMAGE("https://lmztiles.s3.eu-west-1.amazonaws.com/Modern_Interiors_v41.3.4/1_Interiors/16x16/Theme_Sorter_Singles/21_Clothing_Store_Singles/Clothing_Store_Singles_145.png")</f>
        <v/>
      </c>
    </row>
    <row r="145" ht="36.0" customHeight="1">
      <c r="A145" s="16" t="s">
        <v>4761</v>
      </c>
      <c r="B145" s="16" t="str">
        <f>IMAGE("https://lmztiles.s3.eu-west-1.amazonaws.com/Modern_Interiors_v41.3.4/1_Interiors/16x16/Theme_Sorter_Singles/21_Clothing_Store_Singles/Clothing_Store_Singles_146.png")</f>
        <v/>
      </c>
    </row>
    <row r="146" ht="36.0" customHeight="1">
      <c r="A146" s="16" t="s">
        <v>4762</v>
      </c>
      <c r="B146" s="16" t="str">
        <f>IMAGE("https://lmztiles.s3.eu-west-1.amazonaws.com/Modern_Interiors_v41.3.4/1_Interiors/16x16/Theme_Sorter_Singles/21_Clothing_Store_Singles/Clothing_Store_Singles_147.png")</f>
        <v/>
      </c>
    </row>
    <row r="147" ht="36.0" customHeight="1">
      <c r="A147" s="16" t="s">
        <v>4763</v>
      </c>
      <c r="B147" s="16" t="str">
        <f>IMAGE("https://lmztiles.s3.eu-west-1.amazonaws.com/Modern_Interiors_v41.3.4/1_Interiors/16x16/Theme_Sorter_Singles/21_Clothing_Store_Singles/Clothing_Store_Singles_148.png")</f>
        <v/>
      </c>
    </row>
    <row r="148" ht="36.0" customHeight="1">
      <c r="A148" s="16" t="s">
        <v>4764</v>
      </c>
      <c r="B148" s="16" t="str">
        <f>IMAGE("https://lmztiles.s3.eu-west-1.amazonaws.com/Modern_Interiors_v41.3.4/1_Interiors/16x16/Theme_Sorter_Singles/21_Clothing_Store_Singles/Clothing_Store_Singles_149.png")</f>
        <v/>
      </c>
    </row>
    <row r="149" ht="36.0" customHeight="1">
      <c r="A149" s="16" t="s">
        <v>4765</v>
      </c>
      <c r="B149" s="16" t="str">
        <f>IMAGE("https://lmztiles.s3.eu-west-1.amazonaws.com/Modern_Interiors_v41.3.4/1_Interiors/16x16/Theme_Sorter_Singles/21_Clothing_Store_Singles/Clothing_Store_Singles_150.png")</f>
        <v/>
      </c>
    </row>
    <row r="150" ht="36.0" customHeight="1">
      <c r="A150" s="16" t="s">
        <v>4766</v>
      </c>
      <c r="B150" s="16" t="str">
        <f>IMAGE("https://lmztiles.s3.eu-west-1.amazonaws.com/Modern_Interiors_v41.3.4/1_Interiors/16x16/Theme_Sorter_Singles/21_Clothing_Store_Singles/Clothing_Store_Singles_151.png")</f>
        <v/>
      </c>
    </row>
    <row r="151" ht="36.0" customHeight="1">
      <c r="A151" s="16" t="s">
        <v>4767</v>
      </c>
      <c r="B151" s="16" t="str">
        <f>IMAGE("https://lmztiles.s3.eu-west-1.amazonaws.com/Modern_Interiors_v41.3.4/1_Interiors/16x16/Theme_Sorter_Singles/21_Clothing_Store_Singles/Clothing_Store_Singles_152.png")</f>
        <v/>
      </c>
    </row>
    <row r="152" ht="36.0" customHeight="1">
      <c r="A152" s="16" t="s">
        <v>4768</v>
      </c>
      <c r="B152" s="16" t="str">
        <f>IMAGE("https://lmztiles.s3.eu-west-1.amazonaws.com/Modern_Interiors_v41.3.4/1_Interiors/16x16/Theme_Sorter_Singles/21_Clothing_Store_Singles/Clothing_Store_Singles_153.png")</f>
        <v/>
      </c>
    </row>
    <row r="153" ht="36.0" customHeight="1">
      <c r="A153" s="16" t="s">
        <v>4769</v>
      </c>
      <c r="B153" s="16" t="str">
        <f>IMAGE("https://lmztiles.s3.eu-west-1.amazonaws.com/Modern_Interiors_v41.3.4/1_Interiors/16x16/Theme_Sorter_Singles/21_Clothing_Store_Singles/Clothing_Store_Singles_154.png")</f>
        <v/>
      </c>
    </row>
    <row r="154" ht="36.0" customHeight="1">
      <c r="A154" s="16" t="s">
        <v>4770</v>
      </c>
      <c r="B154" s="16" t="str">
        <f>IMAGE("https://lmztiles.s3.eu-west-1.amazonaws.com/Modern_Interiors_v41.3.4/1_Interiors/16x16/Theme_Sorter_Singles/21_Clothing_Store_Singles/Clothing_Store_Singles_155.png")</f>
        <v/>
      </c>
    </row>
    <row r="155" ht="36.0" customHeight="1">
      <c r="A155" s="16" t="s">
        <v>4771</v>
      </c>
      <c r="B155" s="16" t="str">
        <f>IMAGE("https://lmztiles.s3.eu-west-1.amazonaws.com/Modern_Interiors_v41.3.4/1_Interiors/16x16/Theme_Sorter_Singles/21_Clothing_Store_Singles/Clothing_Store_Singles_156.png")</f>
        <v/>
      </c>
    </row>
    <row r="156" ht="36.0" customHeight="1">
      <c r="A156" s="16" t="s">
        <v>4772</v>
      </c>
      <c r="B156" s="16" t="str">
        <f>IMAGE("https://lmztiles.s3.eu-west-1.amazonaws.com/Modern_Interiors_v41.3.4/1_Interiors/16x16/Theme_Sorter_Singles/21_Clothing_Store_Singles/Clothing_Store_Singles_157.png")</f>
        <v/>
      </c>
    </row>
    <row r="157" ht="36.0" customHeight="1">
      <c r="A157" s="16" t="s">
        <v>4773</v>
      </c>
      <c r="B157" s="16" t="str">
        <f>IMAGE("https://lmztiles.s3.eu-west-1.amazonaws.com/Modern_Interiors_v41.3.4/1_Interiors/16x16/Theme_Sorter_Singles/21_Clothing_Store_Singles/Clothing_Store_Singles_158.png")</f>
        <v/>
      </c>
    </row>
    <row r="158" ht="36.0" customHeight="1">
      <c r="A158" s="16" t="s">
        <v>4774</v>
      </c>
      <c r="B158" s="16" t="str">
        <f>IMAGE("https://lmztiles.s3.eu-west-1.amazonaws.com/Modern_Interiors_v41.3.4/1_Interiors/16x16/Theme_Sorter_Singles/21_Clothing_Store_Singles/Clothing_Store_Singles_159.png")</f>
        <v/>
      </c>
    </row>
    <row r="159" ht="36.0" customHeight="1">
      <c r="A159" s="16" t="s">
        <v>4775</v>
      </c>
      <c r="B159" s="16" t="str">
        <f>IMAGE("https://lmztiles.s3.eu-west-1.amazonaws.com/Modern_Interiors_v41.3.4/1_Interiors/16x16/Theme_Sorter_Singles/21_Clothing_Store_Singles/Clothing_Store_Singles_160.png")</f>
        <v/>
      </c>
    </row>
    <row r="160" ht="36.0" customHeight="1">
      <c r="A160" s="16" t="s">
        <v>4776</v>
      </c>
      <c r="B160" s="16" t="str">
        <f>IMAGE("https://lmztiles.s3.eu-west-1.amazonaws.com/Modern_Interiors_v41.3.4/1_Interiors/16x16/Theme_Sorter_Singles/21_Clothing_Store_Singles/Clothing_Store_Singles_161.png")</f>
        <v/>
      </c>
    </row>
    <row r="161" ht="36.0" customHeight="1">
      <c r="A161" s="16" t="s">
        <v>4777</v>
      </c>
      <c r="B161" s="16" t="str">
        <f>IMAGE("https://lmztiles.s3.eu-west-1.amazonaws.com/Modern_Interiors_v41.3.4/1_Interiors/16x16/Theme_Sorter_Singles/21_Clothing_Store_Singles/Clothing_Store_Singles_162.png")</f>
        <v/>
      </c>
    </row>
    <row r="162" ht="36.0" customHeight="1">
      <c r="A162" s="16" t="s">
        <v>4778</v>
      </c>
      <c r="B162" s="16" t="str">
        <f>IMAGE("https://lmztiles.s3.eu-west-1.amazonaws.com/Modern_Interiors_v41.3.4/1_Interiors/16x16/Theme_Sorter_Singles/21_Clothing_Store_Singles/Clothing_Store_Singles_163.png")</f>
        <v/>
      </c>
    </row>
    <row r="163" ht="36.0" customHeight="1">
      <c r="A163" s="16" t="s">
        <v>4779</v>
      </c>
      <c r="B163" s="16" t="str">
        <f>IMAGE("https://lmztiles.s3.eu-west-1.amazonaws.com/Modern_Interiors_v41.3.4/1_Interiors/16x16/Theme_Sorter_Singles/21_Clothing_Store_Singles/Clothing_Store_Singles_164.png")</f>
        <v/>
      </c>
    </row>
    <row r="164" ht="36.0" customHeight="1">
      <c r="A164" s="16" t="s">
        <v>4780</v>
      </c>
      <c r="B164" s="16" t="str">
        <f>IMAGE("https://lmztiles.s3.eu-west-1.amazonaws.com/Modern_Interiors_v41.3.4/1_Interiors/16x16/Theme_Sorter_Singles/21_Clothing_Store_Singles/Clothing_Store_Singles_165.png")</f>
        <v/>
      </c>
    </row>
    <row r="165" ht="36.0" customHeight="1">
      <c r="A165" s="16" t="s">
        <v>4781</v>
      </c>
      <c r="B165" s="16" t="str">
        <f>IMAGE("https://lmztiles.s3.eu-west-1.amazonaws.com/Modern_Interiors_v41.3.4/1_Interiors/16x16/Theme_Sorter_Singles/21_Clothing_Store_Singles/Clothing_Store_Singles_166.png")</f>
        <v/>
      </c>
    </row>
    <row r="166" ht="36.0" customHeight="1">
      <c r="A166" s="16" t="s">
        <v>4782</v>
      </c>
      <c r="B166" s="16" t="str">
        <f>IMAGE("https://lmztiles.s3.eu-west-1.amazonaws.com/Modern_Interiors_v41.3.4/1_Interiors/16x16/Theme_Sorter_Singles/21_Clothing_Store_Singles/Clothing_Store_Singles_167.png")</f>
        <v/>
      </c>
    </row>
    <row r="167" ht="36.0" customHeight="1">
      <c r="A167" s="16" t="s">
        <v>4783</v>
      </c>
      <c r="B167" s="16" t="str">
        <f>IMAGE("https://lmztiles.s3.eu-west-1.amazonaws.com/Modern_Interiors_v41.3.4/1_Interiors/16x16/Theme_Sorter_Singles/21_Clothing_Store_Singles/Clothing_Store_Singles_168.png")</f>
        <v/>
      </c>
    </row>
    <row r="168" ht="36.0" customHeight="1">
      <c r="A168" s="16" t="s">
        <v>4784</v>
      </c>
      <c r="B168" s="16" t="str">
        <f>IMAGE("https://lmztiles.s3.eu-west-1.amazonaws.com/Modern_Interiors_v41.3.4/1_Interiors/16x16/Theme_Sorter_Singles/21_Clothing_Store_Singles/Clothing_Store_Singles_169.png")</f>
        <v/>
      </c>
    </row>
    <row r="169" ht="36.0" customHeight="1">
      <c r="A169" s="16" t="s">
        <v>4785</v>
      </c>
      <c r="B169" s="16" t="str">
        <f>IMAGE("https://lmztiles.s3.eu-west-1.amazonaws.com/Modern_Interiors_v41.3.4/1_Interiors/16x16/Theme_Sorter_Singles/21_Clothing_Store_Singles/Clothing_Store_Singles_170.png")</f>
        <v/>
      </c>
    </row>
    <row r="170" ht="36.0" customHeight="1">
      <c r="A170" s="16" t="s">
        <v>4786</v>
      </c>
      <c r="B170" s="16" t="str">
        <f>IMAGE("https://lmztiles.s3.eu-west-1.amazonaws.com/Modern_Interiors_v41.3.4/1_Interiors/16x16/Theme_Sorter_Singles/21_Clothing_Store_Singles/Clothing_Store_Singles_171.png")</f>
        <v/>
      </c>
    </row>
    <row r="171" ht="36.0" customHeight="1">
      <c r="A171" s="16" t="s">
        <v>4787</v>
      </c>
      <c r="B171" s="16" t="str">
        <f>IMAGE("https://lmztiles.s3.eu-west-1.amazonaws.com/Modern_Interiors_v41.3.4/1_Interiors/16x16/Theme_Sorter_Singles/21_Clothing_Store_Singles/Clothing_Store_Singles_172.png")</f>
        <v/>
      </c>
    </row>
    <row r="172" ht="36.0" customHeight="1">
      <c r="A172" s="16" t="s">
        <v>4788</v>
      </c>
      <c r="B172" s="16" t="str">
        <f>IMAGE("https://lmztiles.s3.eu-west-1.amazonaws.com/Modern_Interiors_v41.3.4/1_Interiors/16x16/Theme_Sorter_Singles/21_Clothing_Store_Singles/Clothing_Store_Singles_173.png")</f>
        <v/>
      </c>
    </row>
    <row r="173" ht="36.0" customHeight="1">
      <c r="A173" s="16" t="s">
        <v>4789</v>
      </c>
      <c r="B173" s="16" t="str">
        <f>IMAGE("https://lmztiles.s3.eu-west-1.amazonaws.com/Modern_Interiors_v41.3.4/1_Interiors/16x16/Theme_Sorter_Singles/21_Clothing_Store_Singles/Clothing_Store_Singles_174.png")</f>
        <v/>
      </c>
    </row>
    <row r="174" ht="36.0" customHeight="1">
      <c r="A174" s="16" t="s">
        <v>4790</v>
      </c>
      <c r="B174" s="16" t="str">
        <f>IMAGE("https://lmztiles.s3.eu-west-1.amazonaws.com/Modern_Interiors_v41.3.4/1_Interiors/16x16/Theme_Sorter_Singles/21_Clothing_Store_Singles/Clothing_Store_Singles_175.png")</f>
        <v/>
      </c>
    </row>
    <row r="175" ht="36.0" customHeight="1">
      <c r="A175" s="16" t="s">
        <v>4791</v>
      </c>
      <c r="B175" s="16" t="str">
        <f>IMAGE("https://lmztiles.s3.eu-west-1.amazonaws.com/Modern_Interiors_v41.3.4/1_Interiors/16x16/Theme_Sorter_Singles/21_Clothing_Store_Singles/Clothing_Store_Singles_176.png")</f>
        <v/>
      </c>
    </row>
    <row r="176" ht="36.0" customHeight="1">
      <c r="A176" s="16" t="s">
        <v>4792</v>
      </c>
      <c r="B176" s="16" t="str">
        <f>IMAGE("https://lmztiles.s3.eu-west-1.amazonaws.com/Modern_Interiors_v41.3.4/1_Interiors/16x16/Theme_Sorter_Singles/21_Clothing_Store_Singles/Clothing_Store_Singles_177.png")</f>
        <v/>
      </c>
    </row>
    <row r="177" ht="36.0" customHeight="1">
      <c r="A177" s="16" t="s">
        <v>4793</v>
      </c>
      <c r="B177" s="16" t="str">
        <f>IMAGE("https://lmztiles.s3.eu-west-1.amazonaws.com/Modern_Interiors_v41.3.4/1_Interiors/16x16/Theme_Sorter_Singles/21_Clothing_Store_Singles/Clothing_Store_Singles_178.png")</f>
        <v/>
      </c>
    </row>
    <row r="178" ht="36.0" customHeight="1">
      <c r="A178" s="16" t="s">
        <v>4794</v>
      </c>
      <c r="B178" s="16" t="str">
        <f>IMAGE("https://lmztiles.s3.eu-west-1.amazonaws.com/Modern_Interiors_v41.3.4/1_Interiors/16x16/Theme_Sorter_Singles/21_Clothing_Store_Singles/Clothing_Store_Singles_179.png")</f>
        <v/>
      </c>
    </row>
    <row r="179" ht="36.0" customHeight="1">
      <c r="A179" s="16" t="s">
        <v>4795</v>
      </c>
      <c r="B179" s="16" t="str">
        <f>IMAGE("https://lmztiles.s3.eu-west-1.amazonaws.com/Modern_Interiors_v41.3.4/1_Interiors/16x16/Theme_Sorter_Singles/21_Clothing_Store_Singles/Clothing_Store_Singles_180.png")</f>
        <v/>
      </c>
    </row>
    <row r="180" ht="36.0" customHeight="1">
      <c r="A180" s="16" t="s">
        <v>4796</v>
      </c>
      <c r="B180" s="16" t="str">
        <f>IMAGE("https://lmztiles.s3.eu-west-1.amazonaws.com/Modern_Interiors_v41.3.4/1_Interiors/16x16/Theme_Sorter_Singles/21_Clothing_Store_Singles/Clothing_Store_Singles_181.png")</f>
        <v/>
      </c>
    </row>
    <row r="181" ht="36.0" customHeight="1">
      <c r="A181" s="16" t="s">
        <v>4797</v>
      </c>
      <c r="B181" s="16" t="str">
        <f>IMAGE("https://lmztiles.s3.eu-west-1.amazonaws.com/Modern_Interiors_v41.3.4/1_Interiors/16x16/Theme_Sorter_Singles/21_Clothing_Store_Singles/Clothing_Store_Singles_182.png")</f>
        <v/>
      </c>
    </row>
    <row r="182" ht="36.0" customHeight="1">
      <c r="A182" s="16" t="s">
        <v>4798</v>
      </c>
      <c r="B182" s="16" t="str">
        <f>IMAGE("https://lmztiles.s3.eu-west-1.amazonaws.com/Modern_Interiors_v41.3.4/1_Interiors/16x16/Theme_Sorter_Singles/21_Clothing_Store_Singles/Clothing_Store_Singles_183.png")</f>
        <v/>
      </c>
    </row>
    <row r="183" ht="36.0" customHeight="1">
      <c r="A183" s="16" t="s">
        <v>4799</v>
      </c>
      <c r="B183" s="16" t="str">
        <f>IMAGE("https://lmztiles.s3.eu-west-1.amazonaws.com/Modern_Interiors_v41.3.4/1_Interiors/16x16/Theme_Sorter_Singles/21_Clothing_Store_Singles/Clothing_Store_Singles_184.png")</f>
        <v/>
      </c>
    </row>
    <row r="184" ht="36.0" customHeight="1">
      <c r="A184" s="16" t="s">
        <v>4800</v>
      </c>
      <c r="B184" s="16" t="str">
        <f>IMAGE("https://lmztiles.s3.eu-west-1.amazonaws.com/Modern_Interiors_v41.3.4/1_Interiors/16x16/Theme_Sorter_Singles/21_Clothing_Store_Singles/Clothing_Store_Singles_185.png")</f>
        <v/>
      </c>
    </row>
    <row r="185" ht="36.0" customHeight="1">
      <c r="A185" s="16" t="s">
        <v>4801</v>
      </c>
      <c r="B185" s="16" t="str">
        <f>IMAGE("https://lmztiles.s3.eu-west-1.amazonaws.com/Modern_Interiors_v41.3.4/1_Interiors/16x16/Theme_Sorter_Singles/21_Clothing_Store_Singles/Clothing_Store_Singles_187.png")</f>
        <v/>
      </c>
    </row>
    <row r="186" ht="36.0" customHeight="1">
      <c r="A186" s="16" t="s">
        <v>4802</v>
      </c>
      <c r="B186" s="16" t="str">
        <f>IMAGE("https://lmztiles.s3.eu-west-1.amazonaws.com/Modern_Interiors_v41.3.4/1_Interiors/16x16/Theme_Sorter_Singles/21_Clothing_Store_Singles/Clothing_Store_Singles_189.png")</f>
        <v/>
      </c>
    </row>
    <row r="187" ht="36.0" customHeight="1">
      <c r="A187" s="16" t="s">
        <v>4803</v>
      </c>
      <c r="B187" s="16" t="str">
        <f>IMAGE("https://lmztiles.s3.eu-west-1.amazonaws.com/Modern_Interiors_v41.3.4/1_Interiors/16x16/Theme_Sorter_Singles/21_Clothing_Store_Singles/Clothing_Store_Singles_190.png")</f>
        <v/>
      </c>
    </row>
    <row r="188" ht="36.0" customHeight="1">
      <c r="A188" s="16" t="s">
        <v>4804</v>
      </c>
      <c r="B188" s="16" t="str">
        <f>IMAGE("https://lmztiles.s3.eu-west-1.amazonaws.com/Modern_Interiors_v41.3.4/1_Interiors/16x16/Theme_Sorter_Singles/21_Clothing_Store_Singles/Clothing_Store_Singles_191.png")</f>
        <v/>
      </c>
    </row>
    <row r="189" ht="36.0" customHeight="1">
      <c r="A189" s="16" t="s">
        <v>4805</v>
      </c>
      <c r="B189" s="16" t="str">
        <f>IMAGE("https://lmztiles.s3.eu-west-1.amazonaws.com/Modern_Interiors_v41.3.4/1_Interiors/16x16/Theme_Sorter_Singles/21_Clothing_Store_Singles/Clothing_Store_Singles_192.png")</f>
        <v/>
      </c>
    </row>
    <row r="190" ht="36.0" customHeight="1">
      <c r="A190" s="16" t="s">
        <v>4806</v>
      </c>
      <c r="B190" s="16" t="str">
        <f>IMAGE("https://lmztiles.s3.eu-west-1.amazonaws.com/Modern_Interiors_v41.3.4/1_Interiors/16x16/Theme_Sorter_Singles/21_Clothing_Store_Singles/Clothing_Store_Singles_193.png")</f>
        <v/>
      </c>
    </row>
    <row r="191" ht="36.0" customHeight="1">
      <c r="A191" s="16" t="s">
        <v>4807</v>
      </c>
      <c r="B191" s="16" t="str">
        <f>IMAGE("https://lmztiles.s3.eu-west-1.amazonaws.com/Modern_Interiors_v41.3.4/1_Interiors/16x16/Theme_Sorter_Singles/21_Clothing_Store_Singles/Clothing_Store_Singles_194.png")</f>
        <v/>
      </c>
    </row>
    <row r="192" ht="36.0" customHeight="1">
      <c r="A192" s="16" t="s">
        <v>4808</v>
      </c>
      <c r="B192" s="16" t="str">
        <f>IMAGE("https://lmztiles.s3.eu-west-1.amazonaws.com/Modern_Interiors_v41.3.4/1_Interiors/16x16/Theme_Sorter_Singles/21_Clothing_Store_Singles/Clothing_Store_Singles_195.png")</f>
        <v/>
      </c>
    </row>
    <row r="193" ht="36.0" customHeight="1">
      <c r="A193" s="16" t="s">
        <v>4809</v>
      </c>
      <c r="B193" s="16" t="str">
        <f>IMAGE("https://lmztiles.s3.eu-west-1.amazonaws.com/Modern_Interiors_v41.3.4/1_Interiors/16x16/Theme_Sorter_Singles/21_Clothing_Store_Singles/Clothing_Store_Singles_196.png")</f>
        <v/>
      </c>
    </row>
    <row r="194" ht="36.0" customHeight="1">
      <c r="A194" s="16" t="s">
        <v>4810</v>
      </c>
      <c r="B194" s="16" t="str">
        <f>IMAGE("https://lmztiles.s3.eu-west-1.amazonaws.com/Modern_Interiors_v41.3.4/1_Interiors/16x16/Theme_Sorter_Singles/21_Clothing_Store_Singles/Clothing_Store_Singles_197.png")</f>
        <v/>
      </c>
    </row>
    <row r="195" ht="36.0" customHeight="1">
      <c r="A195" s="16" t="s">
        <v>4811</v>
      </c>
      <c r="B195" s="16" t="str">
        <f>IMAGE("https://lmztiles.s3.eu-west-1.amazonaws.com/Modern_Interiors_v41.3.4/1_Interiors/16x16/Theme_Sorter_Singles/21_Clothing_Store_Singles/Clothing_Store_Singles_198.png")</f>
        <v/>
      </c>
    </row>
    <row r="196" ht="36.0" customHeight="1">
      <c r="A196" s="16" t="s">
        <v>4812</v>
      </c>
      <c r="B196" s="16" t="str">
        <f>IMAGE("https://lmztiles.s3.eu-west-1.amazonaws.com/Modern_Interiors_v41.3.4/1_Interiors/16x16/Theme_Sorter_Singles/21_Clothing_Store_Singles/Clothing_Store_Singles_199.png")</f>
        <v/>
      </c>
    </row>
    <row r="197" ht="36.0" customHeight="1">
      <c r="A197" s="16" t="s">
        <v>4813</v>
      </c>
      <c r="B197" s="16" t="str">
        <f>IMAGE("https://lmztiles.s3.eu-west-1.amazonaws.com/Modern_Interiors_v41.3.4/1_Interiors/16x16/Theme_Sorter_Singles/21_Clothing_Store_Singles/Clothing_Store_Singles_200.png")</f>
        <v/>
      </c>
    </row>
    <row r="198" ht="36.0" customHeight="1">
      <c r="A198" s="16" t="s">
        <v>4814</v>
      </c>
      <c r="B198" s="16" t="str">
        <f>IMAGE("https://lmztiles.s3.eu-west-1.amazonaws.com/Modern_Interiors_v41.3.4/1_Interiors/16x16/Theme_Sorter_Singles/21_Clothing_Store_Singles/Clothing_Store_Singles_201.png")</f>
        <v/>
      </c>
    </row>
    <row r="199" ht="36.0" customHeight="1">
      <c r="A199" s="16" t="s">
        <v>4815</v>
      </c>
      <c r="B199" s="16" t="str">
        <f>IMAGE("https://lmztiles.s3.eu-west-1.amazonaws.com/Modern_Interiors_v41.3.4/1_Interiors/16x16/Theme_Sorter_Singles/21_Clothing_Store_Singles/Clothing_Store_Singles_202.png")</f>
        <v/>
      </c>
    </row>
    <row r="200" ht="36.0" customHeight="1">
      <c r="A200" s="16" t="s">
        <v>4816</v>
      </c>
      <c r="B200" s="16" t="str">
        <f>IMAGE("https://lmztiles.s3.eu-west-1.amazonaws.com/Modern_Interiors_v41.3.4/1_Interiors/16x16/Theme_Sorter_Singles/21_Clothing_Store_Singles/Clothing_Store_Singles_203.png")</f>
        <v/>
      </c>
    </row>
    <row r="201" ht="36.0" customHeight="1">
      <c r="A201" s="16" t="s">
        <v>4817</v>
      </c>
      <c r="B201" s="16" t="str">
        <f>IMAGE("https://lmztiles.s3.eu-west-1.amazonaws.com/Modern_Interiors_v41.3.4/1_Interiors/16x16/Theme_Sorter_Singles/21_Clothing_Store_Singles/Clothing_Store_Singles_204.png")</f>
        <v/>
      </c>
    </row>
    <row r="202" ht="36.0" customHeight="1">
      <c r="A202" s="16" t="s">
        <v>4818</v>
      </c>
      <c r="B202" s="16" t="str">
        <f>IMAGE("https://lmztiles.s3.eu-west-1.amazonaws.com/Modern_Interiors_v41.3.4/1_Interiors/16x16/Theme_Sorter_Singles/21_Clothing_Store_Singles/Clothing_Store_Singles_205.png")</f>
        <v/>
      </c>
    </row>
    <row r="203" ht="36.0" customHeight="1">
      <c r="A203" s="16" t="s">
        <v>4819</v>
      </c>
      <c r="B203" s="16" t="str">
        <f>IMAGE("https://lmztiles.s3.eu-west-1.amazonaws.com/Modern_Interiors_v41.3.4/1_Interiors/16x16/Theme_Sorter_Singles/21_Clothing_Store_Singles/Clothing_Store_Singles_206.png")</f>
        <v/>
      </c>
    </row>
    <row r="204" ht="36.0" customHeight="1">
      <c r="A204" s="16" t="s">
        <v>4820</v>
      </c>
      <c r="B204" s="16" t="str">
        <f>IMAGE("https://lmztiles.s3.eu-west-1.amazonaws.com/Modern_Interiors_v41.3.4/1_Interiors/16x16/Theme_Sorter_Singles/21_Clothing_Store_Singles/Clothing_Store_Singles_207.png")</f>
        <v/>
      </c>
    </row>
    <row r="205" ht="36.0" customHeight="1">
      <c r="A205" s="16" t="s">
        <v>4821</v>
      </c>
      <c r="B205" s="16" t="str">
        <f>IMAGE("https://lmztiles.s3.eu-west-1.amazonaws.com/Modern_Interiors_v41.3.4/1_Interiors/16x16/Theme_Sorter_Singles/21_Clothing_Store_Singles/Clothing_Store_Singles_208.png")</f>
        <v/>
      </c>
    </row>
    <row r="206" ht="36.0" customHeight="1">
      <c r="A206" s="16" t="s">
        <v>4822</v>
      </c>
      <c r="B206" s="16" t="str">
        <f>IMAGE("https://lmztiles.s3.eu-west-1.amazonaws.com/Modern_Interiors_v41.3.4/1_Interiors/16x16/Theme_Sorter_Singles/21_Clothing_Store_Singles/Clothing_Store_Singles_209.png")</f>
        <v/>
      </c>
    </row>
    <row r="207" ht="36.0" customHeight="1">
      <c r="A207" s="16" t="s">
        <v>4823</v>
      </c>
      <c r="B207" s="16" t="str">
        <f>IMAGE("https://lmztiles.s3.eu-west-1.amazonaws.com/Modern_Interiors_v41.3.4/1_Interiors/16x16/Theme_Sorter_Singles/21_Clothing_Store_Singles/Clothing_Store_Singles_210.png")</f>
        <v/>
      </c>
    </row>
    <row r="208" ht="36.0" customHeight="1">
      <c r="A208" s="16" t="s">
        <v>4824</v>
      </c>
      <c r="B208" s="16" t="str">
        <f>IMAGE("https://lmztiles.s3.eu-west-1.amazonaws.com/Modern_Interiors_v41.3.4/1_Interiors/16x16/Theme_Sorter_Singles/21_Clothing_Store_Singles/Clothing_Store_Singles_211.png")</f>
        <v/>
      </c>
    </row>
    <row r="209" ht="36.0" customHeight="1">
      <c r="A209" s="16" t="s">
        <v>4825</v>
      </c>
      <c r="B209" s="16" t="str">
        <f>IMAGE("https://lmztiles.s3.eu-west-1.amazonaws.com/Modern_Interiors_v41.3.4/1_Interiors/16x16/Theme_Sorter_Singles/21_Clothing_Store_Singles/Clothing_Store_Singles_212.png")</f>
        <v/>
      </c>
    </row>
    <row r="210" ht="36.0" customHeight="1">
      <c r="A210" s="16" t="s">
        <v>4826</v>
      </c>
      <c r="B210" s="16" t="str">
        <f>IMAGE("https://lmztiles.s3.eu-west-1.amazonaws.com/Modern_Interiors_v41.3.4/1_Interiors/16x16/Theme_Sorter_Singles/21_Clothing_Store_Singles/Clothing_Store_Singles_213.png")</f>
        <v/>
      </c>
    </row>
    <row r="211" ht="36.0" customHeight="1">
      <c r="A211" s="16" t="s">
        <v>4827</v>
      </c>
      <c r="B211" s="16" t="str">
        <f>IMAGE("https://lmztiles.s3.eu-west-1.amazonaws.com/Modern_Interiors_v41.3.4/1_Interiors/16x16/Theme_Sorter_Singles/21_Clothing_Store_Singles/Clothing_Store_Singles_214.png")</f>
        <v/>
      </c>
    </row>
    <row r="212" ht="36.0" customHeight="1">
      <c r="A212" s="16" t="s">
        <v>4828</v>
      </c>
      <c r="B212" s="16" t="str">
        <f>IMAGE("https://lmztiles.s3.eu-west-1.amazonaws.com/Modern_Interiors_v41.3.4/1_Interiors/16x16/Theme_Sorter_Singles/21_Clothing_Store_Singles/Clothing_Store_Singles_215.png")</f>
        <v/>
      </c>
    </row>
    <row r="213" ht="36.0" customHeight="1">
      <c r="A213" s="16" t="s">
        <v>4829</v>
      </c>
      <c r="B213" s="16" t="str">
        <f>IMAGE("https://lmztiles.s3.eu-west-1.amazonaws.com/Modern_Interiors_v41.3.4/1_Interiors/16x16/Theme_Sorter_Singles/21_Clothing_Store_Singles/Clothing_Store_Singles_216.png")</f>
        <v/>
      </c>
    </row>
    <row r="214" ht="36.0" customHeight="1">
      <c r="A214" s="16" t="s">
        <v>4830</v>
      </c>
      <c r="B214" s="16" t="str">
        <f>IMAGE("https://lmztiles.s3.eu-west-1.amazonaws.com/Modern_Interiors_v41.3.4/1_Interiors/16x16/Theme_Sorter_Singles/21_Clothing_Store_Singles/Clothing_Store_Singles_217.png")</f>
        <v/>
      </c>
    </row>
    <row r="215" ht="36.0" customHeight="1">
      <c r="A215" s="16" t="s">
        <v>4831</v>
      </c>
      <c r="B215" s="16" t="str">
        <f>IMAGE("https://lmztiles.s3.eu-west-1.amazonaws.com/Modern_Interiors_v41.3.4/1_Interiors/16x16/Theme_Sorter_Singles/21_Clothing_Store_Singles/Clothing_Store_Singles_218.png")</f>
        <v/>
      </c>
    </row>
    <row r="216" ht="36.0" customHeight="1">
      <c r="A216" s="16" t="s">
        <v>4832</v>
      </c>
      <c r="B216" s="16" t="str">
        <f>IMAGE("https://lmztiles.s3.eu-west-1.amazonaws.com/Modern_Interiors_v41.3.4/1_Interiors/16x16/Theme_Sorter_Singles/21_Clothing_Store_Singles/Clothing_Store_Singles_219.png")</f>
        <v/>
      </c>
    </row>
    <row r="217" ht="36.0" customHeight="1">
      <c r="A217" s="16" t="s">
        <v>4833</v>
      </c>
      <c r="B217" s="16" t="str">
        <f>IMAGE("https://lmztiles.s3.eu-west-1.amazonaws.com/Modern_Interiors_v41.3.4/1_Interiors/16x16/Theme_Sorter_Singles/21_Clothing_Store_Singles/Clothing_Store_Singles_220.png")</f>
        <v/>
      </c>
    </row>
    <row r="218" ht="36.0" customHeight="1">
      <c r="A218" s="16" t="s">
        <v>4834</v>
      </c>
      <c r="B218" s="16" t="str">
        <f>IMAGE("https://lmztiles.s3.eu-west-1.amazonaws.com/Modern_Interiors_v41.3.4/1_Interiors/16x16/Theme_Sorter_Singles/21_Clothing_Store_Singles/Clothing_Store_Singles_221.png")</f>
        <v/>
      </c>
    </row>
    <row r="219" ht="36.0" customHeight="1">
      <c r="A219" s="16" t="s">
        <v>4835</v>
      </c>
      <c r="B219" s="16" t="str">
        <f>IMAGE("https://lmztiles.s3.eu-west-1.amazonaws.com/Modern_Interiors_v41.3.4/1_Interiors/16x16/Theme_Sorter_Singles/21_Clothing_Store_Singles/Clothing_Store_Singles_222.png")</f>
        <v/>
      </c>
    </row>
    <row r="220" ht="36.0" customHeight="1">
      <c r="A220" s="16" t="s">
        <v>4836</v>
      </c>
      <c r="B220" s="16" t="str">
        <f>IMAGE("https://lmztiles.s3.eu-west-1.amazonaws.com/Modern_Interiors_v41.3.4/1_Interiors/16x16/Theme_Sorter_Singles/21_Clothing_Store_Singles/Clothing_Store_Singles_223.png")</f>
        <v/>
      </c>
    </row>
    <row r="221" ht="36.0" customHeight="1">
      <c r="A221" s="16" t="s">
        <v>4837</v>
      </c>
      <c r="B221" s="16" t="str">
        <f>IMAGE("https://lmztiles.s3.eu-west-1.amazonaws.com/Modern_Interiors_v41.3.4/1_Interiors/16x16/Theme_Sorter_Singles/21_Clothing_Store_Singles/Clothing_Store_Singles_224.png")</f>
        <v/>
      </c>
    </row>
    <row r="222" ht="36.0" customHeight="1">
      <c r="A222" s="16" t="s">
        <v>4838</v>
      </c>
      <c r="B222" s="16" t="str">
        <f>IMAGE("https://lmztiles.s3.eu-west-1.amazonaws.com/Modern_Interiors_v41.3.4/1_Interiors/16x16/Theme_Sorter_Singles/21_Clothing_Store_Singles/Clothing_Store_Singles_225.png")</f>
        <v/>
      </c>
    </row>
    <row r="223" ht="36.0" customHeight="1">
      <c r="A223" s="16" t="s">
        <v>4839</v>
      </c>
      <c r="B223" s="16" t="str">
        <f>IMAGE("https://lmztiles.s3.eu-west-1.amazonaws.com/Modern_Interiors_v41.3.4/1_Interiors/16x16/Theme_Sorter_Singles/21_Clothing_Store_Singles/Clothing_Store_Singles_226.png")</f>
        <v/>
      </c>
    </row>
    <row r="224" ht="36.0" customHeight="1">
      <c r="A224" s="16" t="s">
        <v>4840</v>
      </c>
      <c r="B224" s="16" t="str">
        <f>IMAGE("https://lmztiles.s3.eu-west-1.amazonaws.com/Modern_Interiors_v41.3.4/1_Interiors/16x16/Theme_Sorter_Singles/21_Clothing_Store_Singles/Clothing_Store_Singles_227.png")</f>
        <v/>
      </c>
    </row>
    <row r="225" ht="36.0" customHeight="1">
      <c r="A225" s="16" t="s">
        <v>4841</v>
      </c>
      <c r="B225" s="16" t="str">
        <f>IMAGE("https://lmztiles.s3.eu-west-1.amazonaws.com/Modern_Interiors_v41.3.4/1_Interiors/16x16/Theme_Sorter_Singles/21_Clothing_Store_Singles/Clothing_Store_Singles_228.png")</f>
        <v/>
      </c>
    </row>
    <row r="226" ht="36.0" customHeight="1">
      <c r="A226" s="16" t="s">
        <v>4842</v>
      </c>
      <c r="B226" s="16" t="str">
        <f>IMAGE("https://lmztiles.s3.eu-west-1.amazonaws.com/Modern_Interiors_v41.3.4/1_Interiors/16x16/Theme_Sorter_Singles/21_Clothing_Store_Singles/Clothing_Store_Singles_229.png")</f>
        <v/>
      </c>
    </row>
    <row r="227" ht="36.0" customHeight="1">
      <c r="A227" s="16" t="s">
        <v>4843</v>
      </c>
      <c r="B227" s="16" t="str">
        <f>IMAGE("https://lmztiles.s3.eu-west-1.amazonaws.com/Modern_Interiors_v41.3.4/1_Interiors/16x16/Theme_Sorter_Singles/21_Clothing_Store_Singles/Clothing_Store_Singles_230.png")</f>
        <v/>
      </c>
    </row>
    <row r="228" ht="36.0" customHeight="1">
      <c r="A228" s="16" t="s">
        <v>4844</v>
      </c>
      <c r="B228" s="16" t="str">
        <f>IMAGE("https://lmztiles.s3.eu-west-1.amazonaws.com/Modern_Interiors_v41.3.4/1_Interiors/16x16/Theme_Sorter_Singles/21_Clothing_Store_Singles/Clothing_Store_Singles_231.png")</f>
        <v/>
      </c>
    </row>
    <row r="229" ht="36.0" customHeight="1">
      <c r="A229" s="16" t="s">
        <v>4845</v>
      </c>
      <c r="B229" s="16" t="str">
        <f>IMAGE("https://lmztiles.s3.eu-west-1.amazonaws.com/Modern_Interiors_v41.3.4/1_Interiors/16x16/Theme_Sorter_Singles/21_Clothing_Store_Singles/Clothing_Store_Singles_232.png")</f>
        <v/>
      </c>
    </row>
    <row r="230" ht="36.0" customHeight="1">
      <c r="A230" s="16" t="s">
        <v>4846</v>
      </c>
      <c r="B230" s="16" t="str">
        <f>IMAGE("https://lmztiles.s3.eu-west-1.amazonaws.com/Modern_Interiors_v41.3.4/1_Interiors/16x16/Theme_Sorter_Singles/21_Clothing_Store_Singles/Clothing_Store_Singles_233.png")</f>
        <v/>
      </c>
    </row>
    <row r="231" ht="36.0" customHeight="1">
      <c r="A231" s="16" t="s">
        <v>4847</v>
      </c>
      <c r="B231" s="16" t="str">
        <f>IMAGE("https://lmztiles.s3.eu-west-1.amazonaws.com/Modern_Interiors_v41.3.4/1_Interiors/16x16/Theme_Sorter_Singles/21_Clothing_Store_Singles/Clothing_Store_Singles_234.png")</f>
        <v/>
      </c>
    </row>
    <row r="232" ht="36.0" customHeight="1">
      <c r="A232" s="16" t="s">
        <v>4848</v>
      </c>
      <c r="B232" s="16" t="str">
        <f>IMAGE("https://lmztiles.s3.eu-west-1.amazonaws.com/Modern_Interiors_v41.3.4/1_Interiors/16x16/Theme_Sorter_Singles/21_Clothing_Store_Singles/Clothing_Store_Singles_235.png")</f>
        <v/>
      </c>
    </row>
    <row r="233" ht="36.0" customHeight="1">
      <c r="A233" s="16" t="s">
        <v>4849</v>
      </c>
      <c r="B233" s="16" t="str">
        <f>IMAGE("https://lmztiles.s3.eu-west-1.amazonaws.com/Modern_Interiors_v41.3.4/1_Interiors/16x16/Theme_Sorter_Singles/21_Clothing_Store_Singles/Clothing_Store_Singles_246.png")</f>
        <v/>
      </c>
    </row>
    <row r="234" ht="36.0" customHeight="1">
      <c r="A234" s="16" t="s">
        <v>4850</v>
      </c>
      <c r="B234" s="16" t="str">
        <f>IMAGE("https://lmztiles.s3.eu-west-1.amazonaws.com/Modern_Interiors_v41.3.4/1_Interiors/16x16/Theme_Sorter_Singles/21_Clothing_Store_Singles/Clothing_Store_Singles_247.png")</f>
        <v/>
      </c>
    </row>
    <row r="235" ht="36.0" customHeight="1">
      <c r="A235" s="16" t="s">
        <v>4851</v>
      </c>
      <c r="B235" s="16" t="str">
        <f>IMAGE("https://lmztiles.s3.eu-west-1.amazonaws.com/Modern_Interiors_v41.3.4/1_Interiors/16x16/Theme_Sorter_Singles/21_Clothing_Store_Singles/Clothing_Store_Singles_248.png")</f>
        <v/>
      </c>
    </row>
    <row r="236" ht="36.0" customHeight="1">
      <c r="A236" s="16" t="s">
        <v>4852</v>
      </c>
      <c r="B236" s="16" t="str">
        <f>IMAGE("https://lmztiles.s3.eu-west-1.amazonaws.com/Modern_Interiors_v41.3.4/1_Interiors/16x16/Theme_Sorter_Singles/21_Clothing_Store_Singles/Clothing_Store_Singles_249.png")</f>
        <v/>
      </c>
    </row>
    <row r="237" ht="36.0" customHeight="1">
      <c r="A237" s="16" t="s">
        <v>4853</v>
      </c>
      <c r="B237" s="16" t="str">
        <f>IMAGE("https://lmztiles.s3.eu-west-1.amazonaws.com/Modern_Interiors_v41.3.4/1_Interiors/16x16/Theme_Sorter_Singles/21_Clothing_Store_Singles/Clothing_Store_Singles_250.png")</f>
        <v/>
      </c>
    </row>
    <row r="238" ht="36.0" customHeight="1">
      <c r="A238" s="16" t="s">
        <v>4854</v>
      </c>
      <c r="B238" s="16" t="str">
        <f>IMAGE("https://lmztiles.s3.eu-west-1.amazonaws.com/Modern_Interiors_v41.3.4/1_Interiors/16x16/Theme_Sorter_Singles/21_Clothing_Store_Singles/Clothing_Store_Singles_251.png")</f>
        <v/>
      </c>
    </row>
    <row r="239" ht="36.0" customHeight="1">
      <c r="A239" s="16" t="s">
        <v>4855</v>
      </c>
      <c r="B239" s="16" t="str">
        <f>IMAGE("https://lmztiles.s3.eu-west-1.amazonaws.com/Modern_Interiors_v41.3.4/1_Interiors/16x16/Theme_Sorter_Singles/21_Clothing_Store_Singles/Clothing_Store_Singles_252.png")</f>
        <v/>
      </c>
    </row>
    <row r="240" ht="36.0" customHeight="1">
      <c r="A240" s="16" t="s">
        <v>4856</v>
      </c>
      <c r="B240" s="16" t="str">
        <f>IMAGE("https://lmztiles.s3.eu-west-1.amazonaws.com/Modern_Interiors_v41.3.4/1_Interiors/16x16/Theme_Sorter_Singles/21_Clothing_Store_Singles/Clothing_Store_Singles_253.png")</f>
        <v/>
      </c>
    </row>
    <row r="241" ht="36.0" customHeight="1">
      <c r="A241" s="16" t="s">
        <v>4857</v>
      </c>
      <c r="B241" s="16" t="str">
        <f>IMAGE("https://lmztiles.s3.eu-west-1.amazonaws.com/Modern_Interiors_v41.3.4/1_Interiors/16x16/Theme_Sorter_Singles/21_Clothing_Store_Singles/Clothing_Store_Singles_254.png")</f>
        <v/>
      </c>
    </row>
    <row r="242" ht="36.0" customHeight="1">
      <c r="A242" s="16" t="s">
        <v>4858</v>
      </c>
      <c r="B242" s="16" t="str">
        <f>IMAGE("https://lmztiles.s3.eu-west-1.amazonaws.com/Modern_Interiors_v41.3.4/1_Interiors/16x16/Theme_Sorter_Singles/21_Clothing_Store_Singles/Clothing_Store_Singles_255.png")</f>
        <v/>
      </c>
    </row>
    <row r="243" ht="36.0" customHeight="1">
      <c r="A243" s="16" t="s">
        <v>4859</v>
      </c>
      <c r="B243" s="16" t="str">
        <f>IMAGE("https://lmztiles.s3.eu-west-1.amazonaws.com/Modern_Interiors_v41.3.4/1_Interiors/16x16/Theme_Sorter_Singles/21_Clothing_Store_Singles/Clothing_Store_Singles_256.png")</f>
        <v/>
      </c>
    </row>
    <row r="244" ht="36.0" customHeight="1">
      <c r="A244" s="16" t="s">
        <v>4860</v>
      </c>
      <c r="B244" s="16" t="str">
        <f>IMAGE("https://lmztiles.s3.eu-west-1.amazonaws.com/Modern_Interiors_v41.3.4/1_Interiors/16x16/Theme_Sorter_Singles/21_Clothing_Store_Singles/Clothing_Store_Singles_257.png")</f>
        <v/>
      </c>
    </row>
    <row r="245" ht="36.0" customHeight="1">
      <c r="A245" s="16" t="s">
        <v>4861</v>
      </c>
      <c r="B245" s="16" t="str">
        <f>IMAGE("https://lmztiles.s3.eu-west-1.amazonaws.com/Modern_Interiors_v41.3.4/1_Interiors/16x16/Theme_Sorter_Singles/21_Clothing_Store_Singles/Clothing_Store_Singles_258.png")</f>
        <v/>
      </c>
    </row>
    <row r="246" ht="36.0" customHeight="1">
      <c r="A246" s="16" t="s">
        <v>4862</v>
      </c>
      <c r="B246" s="16" t="str">
        <f>IMAGE("https://lmztiles.s3.eu-west-1.amazonaws.com/Modern_Interiors_v41.3.4/1_Interiors/16x16/Theme_Sorter_Singles/21_Clothing_Store_Singles/Clothing_Store_Singles_259.png")</f>
        <v/>
      </c>
    </row>
    <row r="247" ht="36.0" customHeight="1">
      <c r="A247" s="16" t="s">
        <v>4863</v>
      </c>
      <c r="B247" s="16" t="str">
        <f>IMAGE("https://lmztiles.s3.eu-west-1.amazonaws.com/Modern_Interiors_v41.3.4/1_Interiors/16x16/Theme_Sorter_Singles/21_Clothing_Store_Singles/Clothing_Store_Singles_260.png")</f>
        <v/>
      </c>
    </row>
    <row r="248" ht="36.0" customHeight="1">
      <c r="A248" s="16" t="s">
        <v>4864</v>
      </c>
      <c r="B248" s="16" t="str">
        <f>IMAGE("https://lmztiles.s3.eu-west-1.amazonaws.com/Modern_Interiors_v41.3.4/1_Interiors/16x16/Theme_Sorter_Singles/21_Clothing_Store_Singles/Clothing_Store_Singles_261.png")</f>
        <v/>
      </c>
    </row>
    <row r="249" ht="36.0" customHeight="1">
      <c r="A249" s="16" t="s">
        <v>4865</v>
      </c>
      <c r="B249" s="16" t="str">
        <f>IMAGE("https://lmztiles.s3.eu-west-1.amazonaws.com/Modern_Interiors_v41.3.4/1_Interiors/16x16/Theme_Sorter_Singles/21_Clothing_Store_Singles/Clothing_Store_Singles_262.png")</f>
        <v/>
      </c>
    </row>
    <row r="250" ht="36.0" customHeight="1">
      <c r="A250" s="16" t="s">
        <v>4866</v>
      </c>
      <c r="B250" s="16" t="str">
        <f>IMAGE("https://lmztiles.s3.eu-west-1.amazonaws.com/Modern_Interiors_v41.3.4/1_Interiors/16x16/Theme_Sorter_Singles/21_Clothing_Store_Singles/Clothing_Store_Singles_263.png")</f>
        <v/>
      </c>
    </row>
    <row r="251" ht="36.0" customHeight="1">
      <c r="A251" s="16" t="s">
        <v>4867</v>
      </c>
      <c r="B251" s="16" t="str">
        <f>IMAGE("https://lmztiles.s3.eu-west-1.amazonaws.com/Modern_Interiors_v41.3.4/1_Interiors/16x16/Theme_Sorter_Singles/21_Clothing_Store_Singles/Clothing_Store_Singles_264.png")</f>
        <v/>
      </c>
    </row>
    <row r="252" ht="36.0" customHeight="1">
      <c r="A252" s="16" t="s">
        <v>4868</v>
      </c>
      <c r="B252" s="16" t="str">
        <f>IMAGE("https://lmztiles.s3.eu-west-1.amazonaws.com/Modern_Interiors_v41.3.4/1_Interiors/16x16/Theme_Sorter_Singles/21_Clothing_Store_Singles/Clothing_Store_Singles_265.png")</f>
        <v/>
      </c>
    </row>
    <row r="253" ht="36.0" customHeight="1">
      <c r="A253" s="16" t="s">
        <v>4869</v>
      </c>
      <c r="B253" s="16" t="str">
        <f>IMAGE("https://lmztiles.s3.eu-west-1.amazonaws.com/Modern_Interiors_v41.3.4/1_Interiors/16x16/Theme_Sorter_Singles/21_Clothing_Store_Singles/Clothing_Store_Singles_266.png")</f>
        <v/>
      </c>
    </row>
    <row r="254" ht="36.0" customHeight="1">
      <c r="A254" s="16" t="s">
        <v>4870</v>
      </c>
      <c r="B254" s="16" t="str">
        <f>IMAGE("https://lmztiles.s3.eu-west-1.amazonaws.com/Modern_Interiors_v41.3.4/1_Interiors/16x16/Theme_Sorter_Singles/21_Clothing_Store_Singles/Clothing_Store_Singles_267.png")</f>
        <v/>
      </c>
    </row>
    <row r="255" ht="36.0" customHeight="1">
      <c r="A255" s="16" t="s">
        <v>4871</v>
      </c>
      <c r="B255" s="16" t="str">
        <f>IMAGE("https://lmztiles.s3.eu-west-1.amazonaws.com/Modern_Interiors_v41.3.4/1_Interiors/16x16/Theme_Sorter_Singles/21_Clothing_Store_Singles/Clothing_Store_Singles_268.png")</f>
        <v/>
      </c>
    </row>
    <row r="256" ht="36.0" customHeight="1">
      <c r="A256" s="16" t="s">
        <v>4872</v>
      </c>
      <c r="B256" s="16" t="str">
        <f>IMAGE("https://lmztiles.s3.eu-west-1.amazonaws.com/Modern_Interiors_v41.3.4/1_Interiors/16x16/Theme_Sorter_Singles/21_Clothing_Store_Singles/Clothing_Store_Singles_269.png")</f>
        <v/>
      </c>
    </row>
    <row r="257" ht="36.0" customHeight="1">
      <c r="A257" s="16" t="s">
        <v>4873</v>
      </c>
      <c r="B257" s="16" t="str">
        <f>IMAGE("https://lmztiles.s3.eu-west-1.amazonaws.com/Modern_Interiors_v41.3.4/1_Interiors/16x16/Theme_Sorter_Singles/21_Clothing_Store_Singles/Clothing_Store_Singles_270.png")</f>
        <v/>
      </c>
    </row>
    <row r="258" ht="36.0" customHeight="1">
      <c r="A258" s="16" t="s">
        <v>4874</v>
      </c>
      <c r="B258" s="16" t="str">
        <f>IMAGE("https://lmztiles.s3.eu-west-1.amazonaws.com/Modern_Interiors_v41.3.4/1_Interiors/16x16/Theme_Sorter_Singles/21_Clothing_Store_Singles/Clothing_Store_Singles_271.png")</f>
        <v/>
      </c>
    </row>
    <row r="259" ht="36.0" customHeight="1">
      <c r="A259" s="16" t="s">
        <v>4875</v>
      </c>
      <c r="B259" s="16" t="str">
        <f>IMAGE("https://lmztiles.s3.eu-west-1.amazonaws.com/Modern_Interiors_v41.3.4/1_Interiors/16x16/Theme_Sorter_Singles/21_Clothing_Store_Singles/Clothing_Store_Singles_272.png")</f>
        <v/>
      </c>
    </row>
    <row r="260" ht="36.0" customHeight="1">
      <c r="A260" s="16" t="s">
        <v>4876</v>
      </c>
      <c r="B260" s="16" t="str">
        <f>IMAGE("https://lmztiles.s3.eu-west-1.amazonaws.com/Modern_Interiors_v41.3.4/1_Interiors/16x16/Theme_Sorter_Singles/21_Clothing_Store_Singles/Clothing_Store_Singles_273.png")</f>
        <v/>
      </c>
    </row>
    <row r="261" ht="36.0" customHeight="1">
      <c r="A261" s="16" t="s">
        <v>4877</v>
      </c>
      <c r="B261" s="16" t="str">
        <f>IMAGE("https://lmztiles.s3.eu-west-1.amazonaws.com/Modern_Interiors_v41.3.4/1_Interiors/16x16/Theme_Sorter_Singles/21_Clothing_Store_Singles/Clothing_Store_Singles_274.png")</f>
        <v/>
      </c>
    </row>
    <row r="262" ht="36.0" customHeight="1">
      <c r="A262" s="16" t="s">
        <v>4878</v>
      </c>
      <c r="B262" s="16" t="str">
        <f>IMAGE("https://lmztiles.s3.eu-west-1.amazonaws.com/Modern_Interiors_v41.3.4/1_Interiors/16x16/Theme_Sorter_Singles/21_Clothing_Store_Singles/Clothing_Store_Singles_275.png")</f>
        <v/>
      </c>
    </row>
    <row r="263" ht="36.0" customHeight="1">
      <c r="A263" s="16" t="s">
        <v>4879</v>
      </c>
      <c r="B263" s="16" t="str">
        <f>IMAGE("https://lmztiles.s3.eu-west-1.amazonaws.com/Modern_Interiors_v41.3.4/1_Interiors/16x16/Theme_Sorter_Singles/21_Clothing_Store_Singles/Clothing_Store_Singles_276.png")</f>
        <v/>
      </c>
    </row>
    <row r="264" ht="36.0" customHeight="1">
      <c r="A264" s="16" t="s">
        <v>4880</v>
      </c>
      <c r="B264" s="16" t="str">
        <f>IMAGE("https://lmztiles.s3.eu-west-1.amazonaws.com/Modern_Interiors_v41.3.4/1_Interiors/16x16/Theme_Sorter_Singles/21_Clothing_Store_Singles/Clothing_Store_Singles_277.png")</f>
        <v/>
      </c>
    </row>
    <row r="265" ht="36.0" customHeight="1">
      <c r="A265" s="16" t="s">
        <v>4881</v>
      </c>
      <c r="B265" s="16" t="str">
        <f>IMAGE("https://lmztiles.s3.eu-west-1.amazonaws.com/Modern_Interiors_v41.3.4/1_Interiors/16x16/Theme_Sorter_Singles/21_Clothing_Store_Singles/Clothing_Store_Singles_278.png")</f>
        <v/>
      </c>
    </row>
    <row r="266" ht="36.0" customHeight="1">
      <c r="A266" s="16" t="s">
        <v>4882</v>
      </c>
      <c r="B266" s="16" t="str">
        <f>IMAGE("https://lmztiles.s3.eu-west-1.amazonaws.com/Modern_Interiors_v41.3.4/1_Interiors/16x16/Theme_Sorter_Singles/21_Clothing_Store_Singles/Clothing_Store_Singles_279.png")</f>
        <v/>
      </c>
    </row>
    <row r="267" ht="36.0" customHeight="1">
      <c r="A267" s="16" t="s">
        <v>4883</v>
      </c>
      <c r="B267" s="16" t="str">
        <f>IMAGE("https://lmztiles.s3.eu-west-1.amazonaws.com/Modern_Interiors_v41.3.4/1_Interiors/16x16/Theme_Sorter_Singles/21_Clothing_Store_Singles/Clothing_Store_Singles_280.png")</f>
        <v/>
      </c>
    </row>
    <row r="268" ht="36.0" customHeight="1">
      <c r="A268" s="16" t="s">
        <v>4884</v>
      </c>
      <c r="B268" s="16" t="str">
        <f>IMAGE("https://lmztiles.s3.eu-west-1.amazonaws.com/Modern_Interiors_v41.3.4/1_Interiors/16x16/Theme_Sorter_Singles/21_Clothing_Store_Singles/Clothing_Store_Singles_281.png")</f>
        <v/>
      </c>
    </row>
    <row r="269" ht="36.0" customHeight="1">
      <c r="A269" s="16" t="s">
        <v>4885</v>
      </c>
      <c r="B269" s="16" t="str">
        <f>IMAGE("https://lmztiles.s3.eu-west-1.amazonaws.com/Modern_Interiors_v41.3.4/1_Interiors/16x16/Theme_Sorter_Singles/21_Clothing_Store_Singles/Clothing_Store_Singles_282.png")</f>
        <v/>
      </c>
    </row>
    <row r="270" ht="36.0" customHeight="1">
      <c r="A270" s="16" t="s">
        <v>4886</v>
      </c>
      <c r="B270" s="16" t="str">
        <f>IMAGE("https://lmztiles.s3.eu-west-1.amazonaws.com/Modern_Interiors_v41.3.4/1_Interiors/16x16/Theme_Sorter_Singles/21_Clothing_Store_Singles/Clothing_Store_Singles_283.png")</f>
        <v/>
      </c>
    </row>
    <row r="271" ht="36.0" customHeight="1">
      <c r="A271" s="16" t="s">
        <v>4887</v>
      </c>
      <c r="B271" s="16" t="str">
        <f>IMAGE("https://lmztiles.s3.eu-west-1.amazonaws.com/Modern_Interiors_v41.3.4/1_Interiors/16x16/Theme_Sorter_Singles/21_Clothing_Store_Singles/Clothing_Store_Singles_284.png")</f>
        <v/>
      </c>
    </row>
    <row r="272" ht="36.0" customHeight="1">
      <c r="A272" s="16" t="s">
        <v>4888</v>
      </c>
      <c r="B272" s="16" t="str">
        <f>IMAGE("https://lmztiles.s3.eu-west-1.amazonaws.com/Modern_Interiors_v41.3.4/1_Interiors/16x16/Theme_Sorter_Singles/21_Clothing_Store_Singles/Clothing_Store_Singles_285.png")</f>
        <v/>
      </c>
    </row>
    <row r="273" ht="36.0" customHeight="1">
      <c r="A273" s="16" t="s">
        <v>4889</v>
      </c>
      <c r="B273" s="16" t="str">
        <f>IMAGE("https://lmztiles.s3.eu-west-1.amazonaws.com/Modern_Interiors_v41.3.4/1_Interiors/16x16/Theme_Sorter_Singles/21_Clothing_Store_Singles/Clothing_Store_Singles_286.png")</f>
        <v/>
      </c>
    </row>
    <row r="274" ht="36.0" customHeight="1">
      <c r="A274" s="16" t="s">
        <v>4890</v>
      </c>
      <c r="B274" s="16" t="str">
        <f>IMAGE("https://lmztiles.s3.eu-west-1.amazonaws.com/Modern_Interiors_v41.3.4/1_Interiors/16x16/Theme_Sorter_Singles/21_Clothing_Store_Singles/Clothing_Store_Singles_287.png")</f>
        <v/>
      </c>
    </row>
    <row r="275" ht="36.0" customHeight="1">
      <c r="A275" s="16" t="s">
        <v>4891</v>
      </c>
      <c r="B275" s="16" t="str">
        <f>IMAGE("https://lmztiles.s3.eu-west-1.amazonaws.com/Modern_Interiors_v41.3.4/1_Interiors/16x16/Theme_Sorter_Singles/21_Clothing_Store_Singles/Clothing_Store_Singles_288.png")</f>
        <v/>
      </c>
    </row>
    <row r="276" ht="36.0" customHeight="1">
      <c r="A276" s="16" t="s">
        <v>4892</v>
      </c>
      <c r="B276" s="16" t="str">
        <f>IMAGE("https://lmztiles.s3.eu-west-1.amazonaws.com/Modern_Interiors_v41.3.4/1_Interiors/16x16/Theme_Sorter_Singles/21_Clothing_Store_Singles/Clothing_Store_Singles_289.png")</f>
        <v/>
      </c>
    </row>
    <row r="277" ht="36.0" customHeight="1">
      <c r="A277" s="16" t="s">
        <v>4893</v>
      </c>
      <c r="B277" s="16" t="str">
        <f>IMAGE("https://lmztiles.s3.eu-west-1.amazonaws.com/Modern_Interiors_v41.3.4/1_Interiors/16x16/Theme_Sorter_Singles/21_Clothing_Store_Singles/Clothing_Store_Singles_290.png")</f>
        <v/>
      </c>
    </row>
    <row r="278" ht="36.0" customHeight="1">
      <c r="A278" s="16" t="s">
        <v>4894</v>
      </c>
      <c r="B278" s="16" t="str">
        <f>IMAGE("https://lmztiles.s3.eu-west-1.amazonaws.com/Modern_Interiors_v41.3.4/1_Interiors/16x16/Theme_Sorter_Singles/21_Clothing_Store_Singles/Clothing_Store_Singles_291.png")</f>
        <v/>
      </c>
    </row>
    <row r="279" ht="36.0" customHeight="1">
      <c r="A279" s="16" t="s">
        <v>4895</v>
      </c>
      <c r="B279" s="16" t="str">
        <f>IMAGE("https://lmztiles.s3.eu-west-1.amazonaws.com/Modern_Interiors_v41.3.4/1_Interiors/16x16/Theme_Sorter_Singles/21_Clothing_Store_Singles/Clothing_Store_Singles_292.png")</f>
        <v/>
      </c>
    </row>
    <row r="280" ht="36.0" customHeight="1">
      <c r="A280" s="16" t="s">
        <v>4896</v>
      </c>
      <c r="B280" s="16" t="str">
        <f>IMAGE("https://lmztiles.s3.eu-west-1.amazonaws.com/Modern_Interiors_v41.3.4/1_Interiors/16x16/Theme_Sorter_Singles/21_Clothing_Store_Singles/Clothing_Store_Singles_293.png")</f>
        <v/>
      </c>
    </row>
    <row r="281" ht="36.0" customHeight="1">
      <c r="A281" s="16" t="s">
        <v>4897</v>
      </c>
      <c r="B281" s="16" t="str">
        <f>IMAGE("https://lmztiles.s3.eu-west-1.amazonaws.com/Modern_Interiors_v41.3.4/1_Interiors/16x16/Theme_Sorter_Singles/21_Clothing_Store_Singles/Clothing_Store_Singles_294.png")</f>
        <v/>
      </c>
    </row>
    <row r="282" ht="36.0" customHeight="1">
      <c r="A282" s="16" t="s">
        <v>4898</v>
      </c>
      <c r="B282" s="16" t="str">
        <f>IMAGE("https://lmztiles.s3.eu-west-1.amazonaws.com/Modern_Interiors_v41.3.4/1_Interiors/16x16/Theme_Sorter_Singles/21_Clothing_Store_Singles/Clothing_Store_Singles_295.png")</f>
        <v/>
      </c>
    </row>
    <row r="283" ht="36.0" customHeight="1">
      <c r="A283" s="16" t="s">
        <v>4899</v>
      </c>
      <c r="B283" s="16" t="str">
        <f>IMAGE("https://lmztiles.s3.eu-west-1.amazonaws.com/Modern_Interiors_v41.3.4/1_Interiors/16x16/Theme_Sorter_Singles/21_Clothing_Store_Singles/Clothing_Store_Singles_296.png")</f>
        <v/>
      </c>
    </row>
    <row r="284" ht="36.0" customHeight="1">
      <c r="A284" s="16" t="s">
        <v>4900</v>
      </c>
      <c r="B284" s="16" t="str">
        <f>IMAGE("https://lmztiles.s3.eu-west-1.amazonaws.com/Modern_Interiors_v41.3.4/1_Interiors/16x16/Theme_Sorter_Singles/21_Clothing_Store_Singles/Clothing_Store_Singles_297.png")</f>
        <v/>
      </c>
    </row>
    <row r="285" ht="36.0" customHeight="1">
      <c r="A285" s="16" t="s">
        <v>4901</v>
      </c>
      <c r="B285" s="16" t="str">
        <f>IMAGE("https://lmztiles.s3.eu-west-1.amazonaws.com/Modern_Interiors_v41.3.4/1_Interiors/16x16/Theme_Sorter_Singles/21_Clothing_Store_Singles/Clothing_Store_Singles_298.png")</f>
        <v/>
      </c>
    </row>
    <row r="286" ht="36.0" customHeight="1">
      <c r="A286" s="16" t="s">
        <v>4902</v>
      </c>
      <c r="B286" s="16" t="str">
        <f>IMAGE("https://lmztiles.s3.eu-west-1.amazonaws.com/Modern_Interiors_v41.3.4/1_Interiors/16x16/Theme_Sorter_Singles/21_Clothing_Store_Singles/Clothing_Store_Singles_299.png")</f>
        <v/>
      </c>
    </row>
    <row r="287" ht="36.0" customHeight="1">
      <c r="A287" s="16" t="s">
        <v>4903</v>
      </c>
      <c r="B287" s="16" t="str">
        <f>IMAGE("https://lmztiles.s3.eu-west-1.amazonaws.com/Modern_Interiors_v41.3.4/1_Interiors/16x16/Theme_Sorter_Singles/21_Clothing_Store_Singles/Clothing_Store_Singles_300.png")</f>
        <v/>
      </c>
    </row>
    <row r="288" ht="36.0" customHeight="1">
      <c r="A288" s="16" t="s">
        <v>4904</v>
      </c>
      <c r="B288" s="16" t="str">
        <f>IMAGE("https://lmztiles.s3.eu-west-1.amazonaws.com/Modern_Interiors_v41.3.4/1_Interiors/16x16/Theme_Sorter_Singles/21_Clothing_Store_Singles/Clothing_Store_Singles_301.png")</f>
        <v/>
      </c>
    </row>
    <row r="289" ht="36.0" customHeight="1">
      <c r="A289" s="16" t="s">
        <v>4905</v>
      </c>
      <c r="B289" s="16" t="str">
        <f>IMAGE("https://lmztiles.s3.eu-west-1.amazonaws.com/Modern_Interiors_v41.3.4/1_Interiors/16x16/Theme_Sorter_Singles/21_Clothing_Store_Singles/Clothing_Store_Singles_302.png")</f>
        <v/>
      </c>
    </row>
    <row r="290" ht="36.0" customHeight="1">
      <c r="A290" s="16" t="s">
        <v>4906</v>
      </c>
      <c r="B290" s="16" t="str">
        <f>IMAGE("https://lmztiles.s3.eu-west-1.amazonaws.com/Modern_Interiors_v41.3.4/1_Interiors/16x16/Theme_Sorter_Singles/21_Clothing_Store_Singles/Clothing_Store_Singles_303.png")</f>
        <v/>
      </c>
    </row>
    <row r="291" ht="36.0" customHeight="1">
      <c r="A291" s="16" t="s">
        <v>4907</v>
      </c>
      <c r="B291" s="16" t="str">
        <f>IMAGE("https://lmztiles.s3.eu-west-1.amazonaws.com/Modern_Interiors_v41.3.4/1_Interiors/16x16/Theme_Sorter_Singles/21_Clothing_Store_Singles/Clothing_Store_Singles_304.png")</f>
        <v/>
      </c>
    </row>
    <row r="292" ht="36.0" customHeight="1">
      <c r="A292" s="16" t="s">
        <v>4908</v>
      </c>
      <c r="B292" s="16" t="str">
        <f>IMAGE("https://lmztiles.s3.eu-west-1.amazonaws.com/Modern_Interiors_v41.3.4/1_Interiors/16x16/Theme_Sorter_Singles/21_Clothing_Store_Singles/Clothing_Store_Singles_305.png")</f>
        <v/>
      </c>
    </row>
    <row r="293" ht="36.0" customHeight="1">
      <c r="A293" s="16" t="s">
        <v>4909</v>
      </c>
      <c r="B293" s="16" t="str">
        <f>IMAGE("https://lmztiles.s3.eu-west-1.amazonaws.com/Modern_Interiors_v41.3.4/1_Interiors/16x16/Theme_Sorter_Singles/21_Clothing_Store_Singles/Clothing_Store_Singles_306.png")</f>
        <v/>
      </c>
    </row>
    <row r="294" ht="36.0" customHeight="1">
      <c r="A294" s="16" t="s">
        <v>4910</v>
      </c>
      <c r="B294" s="16" t="str">
        <f>IMAGE("https://lmztiles.s3.eu-west-1.amazonaws.com/Modern_Interiors_v41.3.4/1_Interiors/16x16/Theme_Sorter_Singles/21_Clothing_Store_Singles/Clothing_Store_Singles_307.png")</f>
        <v/>
      </c>
    </row>
    <row r="295" ht="36.0" customHeight="1">
      <c r="A295" s="16" t="s">
        <v>4911</v>
      </c>
      <c r="B295" s="16" t="str">
        <f>IMAGE("https://lmztiles.s3.eu-west-1.amazonaws.com/Modern_Interiors_v41.3.4/1_Interiors/16x16/Theme_Sorter_Singles/21_Clothing_Store_Singles/Clothing_Store_Singles_308.png")</f>
        <v/>
      </c>
    </row>
    <row r="296" ht="36.0" customHeight="1">
      <c r="A296" s="16" t="s">
        <v>4912</v>
      </c>
      <c r="B296" s="16" t="str">
        <f>IMAGE("https://lmztiles.s3.eu-west-1.amazonaws.com/Modern_Interiors_v41.3.4/1_Interiors/16x16/Theme_Sorter_Singles/21_Clothing_Store_Singles/Clothing_Store_Singles_309.png")</f>
        <v/>
      </c>
    </row>
    <row r="297" ht="36.0" customHeight="1">
      <c r="A297" s="16" t="s">
        <v>4913</v>
      </c>
      <c r="B297" s="16" t="str">
        <f>IMAGE("https://lmztiles.s3.eu-west-1.amazonaws.com/Modern_Interiors_v41.3.4/1_Interiors/16x16/Theme_Sorter_Singles/21_Clothing_Store_Singles/Clothing_Store_Singles_310.png")</f>
        <v/>
      </c>
    </row>
    <row r="298" ht="36.0" customHeight="1">
      <c r="A298" s="16" t="s">
        <v>4914</v>
      </c>
      <c r="B298" s="16" t="str">
        <f>IMAGE("https://lmztiles.s3.eu-west-1.amazonaws.com/Modern_Interiors_v41.3.4/1_Interiors/16x16/Theme_Sorter_Singles/21_Clothing_Store_Singles/Clothing_Store_Singles_311.png")</f>
        <v/>
      </c>
    </row>
    <row r="299" ht="36.0" customHeight="1">
      <c r="A299" s="16" t="s">
        <v>4915</v>
      </c>
      <c r="B299" s="16" t="str">
        <f>IMAGE("https://lmztiles.s3.eu-west-1.amazonaws.com/Modern_Interiors_v41.3.4/1_Interiors/16x16/Theme_Sorter_Singles/21_Clothing_Store_Singles/Clothing_Store_Singles_312.png")</f>
        <v/>
      </c>
    </row>
    <row r="300" ht="36.0" customHeight="1">
      <c r="A300" s="16" t="s">
        <v>4916</v>
      </c>
      <c r="B300" s="16" t="str">
        <f>IMAGE("https://lmztiles.s3.eu-west-1.amazonaws.com/Modern_Interiors_v41.3.4/1_Interiors/16x16/Theme_Sorter_Singles/21_Clothing_Store_Singles/Clothing_Store_Singles_313.png")</f>
        <v/>
      </c>
    </row>
    <row r="301" ht="36.0" customHeight="1">
      <c r="A301" s="16" t="s">
        <v>4917</v>
      </c>
      <c r="B301" s="16" t="str">
        <f>IMAGE("https://lmztiles.s3.eu-west-1.amazonaws.com/Modern_Interiors_v41.3.4/1_Interiors/16x16/Theme_Sorter_Singles/21_Clothing_Store_Singles/Clothing_Store_Singles_314.png")</f>
        <v/>
      </c>
    </row>
    <row r="302" ht="36.0" customHeight="1">
      <c r="A302" s="16" t="s">
        <v>4918</v>
      </c>
      <c r="B302" s="16" t="str">
        <f>IMAGE("https://lmztiles.s3.eu-west-1.amazonaws.com/Modern_Interiors_v41.3.4/1_Interiors/16x16/Theme_Sorter_Singles/21_Clothing_Store_Singles/Clothing_Store_Singles_315.png")</f>
        <v/>
      </c>
    </row>
    <row r="303" ht="36.0" customHeight="1">
      <c r="A303" s="16" t="s">
        <v>4919</v>
      </c>
      <c r="B303" s="16" t="str">
        <f>IMAGE("https://lmztiles.s3.eu-west-1.amazonaws.com/Modern_Interiors_v41.3.4/1_Interiors/16x16/Theme_Sorter_Singles/21_Clothing_Store_Singles/Clothing_Store_Singles_316.png")</f>
        <v/>
      </c>
    </row>
    <row r="304" ht="36.0" customHeight="1">
      <c r="A304" s="16" t="s">
        <v>4920</v>
      </c>
      <c r="B304" s="16" t="str">
        <f>IMAGE("https://lmztiles.s3.eu-west-1.amazonaws.com/Modern_Interiors_v41.3.4/1_Interiors/16x16/Theme_Sorter_Singles/21_Clothing_Store_Singles/Clothing_Store_Singles_317.png")</f>
        <v/>
      </c>
    </row>
    <row r="305" ht="36.0" customHeight="1">
      <c r="A305" s="16" t="s">
        <v>4921</v>
      </c>
      <c r="B305" s="16" t="str">
        <f>IMAGE("https://lmztiles.s3.eu-west-1.amazonaws.com/Modern_Interiors_v41.3.4/1_Interiors/16x16/Theme_Sorter_Singles/21_Clothing_Store_Singles/Clothing_Store_Singles_318.png")</f>
        <v/>
      </c>
    </row>
    <row r="306" ht="36.0" customHeight="1">
      <c r="A306" s="16" t="s">
        <v>4922</v>
      </c>
      <c r="B306" s="16" t="str">
        <f>IMAGE("https://lmztiles.s3.eu-west-1.amazonaws.com/Modern_Interiors_v41.3.4/1_Interiors/16x16/Theme_Sorter_Singles/21_Clothing_Store_Singles/Clothing_Store_Singles_319.png")</f>
        <v/>
      </c>
    </row>
    <row r="307" ht="36.0" customHeight="1">
      <c r="A307" s="16" t="s">
        <v>4923</v>
      </c>
      <c r="B307" s="16" t="str">
        <f>IMAGE("https://lmztiles.s3.eu-west-1.amazonaws.com/Modern_Interiors_v41.3.4/1_Interiors/16x16/Theme_Sorter_Singles/21_Clothing_Store_Singles/Clothing_Store_Singles_320.png")</f>
        <v/>
      </c>
    </row>
    <row r="308" ht="36.0" customHeight="1">
      <c r="A308" s="16" t="s">
        <v>4924</v>
      </c>
      <c r="B308" s="16" t="str">
        <f>IMAGE("https://lmztiles.s3.eu-west-1.amazonaws.com/Modern_Interiors_v41.3.4/1_Interiors/16x16/Theme_Sorter_Singles/21_Clothing_Store_Singles/Clothing_Store_Singles_321.png")</f>
        <v/>
      </c>
    </row>
    <row r="309" ht="36.0" customHeight="1">
      <c r="A309" s="16" t="s">
        <v>4925</v>
      </c>
      <c r="B309" s="16" t="str">
        <f>IMAGE("https://lmztiles.s3.eu-west-1.amazonaws.com/Modern_Interiors_v41.3.4/1_Interiors/16x16/Theme_Sorter_Singles/21_Clothing_Store_Singles/Clothing_Store_Singles_322.png")</f>
        <v/>
      </c>
    </row>
    <row r="310" ht="36.0" customHeight="1">
      <c r="A310" s="16" t="s">
        <v>4926</v>
      </c>
      <c r="B310" s="16" t="str">
        <f>IMAGE("https://lmztiles.s3.eu-west-1.amazonaws.com/Modern_Interiors_v41.3.4/1_Interiors/16x16/Theme_Sorter_Singles/21_Clothing_Store_Singles/Clothing_Store_Singles_323.png")</f>
        <v/>
      </c>
    </row>
    <row r="311" ht="36.0" customHeight="1">
      <c r="A311" s="16" t="s">
        <v>4927</v>
      </c>
      <c r="B311" s="16" t="str">
        <f>IMAGE("https://lmztiles.s3.eu-west-1.amazonaws.com/Modern_Interiors_v41.3.4/1_Interiors/16x16/Theme_Sorter_Singles/21_Clothing_Store_Singles/Clothing_Store_Singles_324.png")</f>
        <v/>
      </c>
    </row>
    <row r="312" ht="36.0" customHeight="1">
      <c r="A312" s="16" t="s">
        <v>4928</v>
      </c>
      <c r="B312" s="16" t="str">
        <f>IMAGE("https://lmztiles.s3.eu-west-1.amazonaws.com/Modern_Interiors_v41.3.4/1_Interiors/16x16/Theme_Sorter_Singles/21_Clothing_Store_Singles/Clothing_Store_Singles_325.png")</f>
        <v/>
      </c>
    </row>
    <row r="313" ht="36.0" customHeight="1">
      <c r="A313" s="16" t="s">
        <v>4929</v>
      </c>
      <c r="B313" s="16" t="str">
        <f>IMAGE("https://lmztiles.s3.eu-west-1.amazonaws.com/Modern_Interiors_v41.3.4/1_Interiors/16x16/Theme_Sorter_Singles/21_Clothing_Store_Singles/Clothing_Store_Singles_326.png")</f>
        <v/>
      </c>
    </row>
    <row r="314" ht="36.0" customHeight="1">
      <c r="A314" s="16" t="s">
        <v>4930</v>
      </c>
      <c r="B314" s="16" t="str">
        <f>IMAGE("https://lmztiles.s3.eu-west-1.amazonaws.com/Modern_Interiors_v41.3.4/1_Interiors/16x16/Theme_Sorter_Singles/21_Clothing_Store_Singles/Clothing_Store_Singles_327.png")</f>
        <v/>
      </c>
    </row>
    <row r="315" ht="36.0" customHeight="1">
      <c r="A315" s="16" t="s">
        <v>4931</v>
      </c>
      <c r="B315" s="16" t="str">
        <f>IMAGE("https://lmztiles.s3.eu-west-1.amazonaws.com/Modern_Interiors_v41.3.4/1_Interiors/16x16/Theme_Sorter_Singles/21_Clothing_Store_Singles/Clothing_Store_Singles_328.png")</f>
        <v/>
      </c>
    </row>
    <row r="316" ht="36.0" customHeight="1">
      <c r="A316" s="16" t="s">
        <v>4932</v>
      </c>
      <c r="B316" s="16" t="str">
        <f>IMAGE("https://lmztiles.s3.eu-west-1.amazonaws.com/Modern_Interiors_v41.3.4/1_Interiors/16x16/Theme_Sorter_Singles/21_Clothing_Store_Singles/Clothing_Store_Singles_329.png")</f>
        <v/>
      </c>
    </row>
    <row r="317" ht="36.0" customHeight="1">
      <c r="A317" s="16" t="s">
        <v>4933</v>
      </c>
      <c r="B317" s="16" t="str">
        <f>IMAGE("https://lmztiles.s3.eu-west-1.amazonaws.com/Modern_Interiors_v41.3.4/1_Interiors/16x16/Theme_Sorter_Singles/21_Clothing_Store_Singles/Clothing_Store_Singles_330.png")</f>
        <v/>
      </c>
    </row>
    <row r="318" ht="36.0" customHeight="1">
      <c r="A318" s="16" t="s">
        <v>4934</v>
      </c>
      <c r="B318" s="16" t="str">
        <f>IMAGE("https://lmztiles.s3.eu-west-1.amazonaws.com/Modern_Interiors_v41.3.4/1_Interiors/16x16/Theme_Sorter_Singles/21_Clothing_Store_Singles/Clothing_Store_Singles_331.png")</f>
        <v/>
      </c>
    </row>
    <row r="319" ht="36.0" customHeight="1">
      <c r="A319" s="16" t="s">
        <v>4935</v>
      </c>
      <c r="B319" s="16" t="str">
        <f>IMAGE("https://lmztiles.s3.eu-west-1.amazonaws.com/Modern_Interiors_v41.3.4/1_Interiors/16x16/Theme_Sorter_Singles/21_Clothing_Store_Singles/Clothing_Store_Singles_332.png")</f>
        <v/>
      </c>
    </row>
    <row r="320" ht="36.0" customHeight="1">
      <c r="A320" s="16" t="s">
        <v>4936</v>
      </c>
      <c r="B320" s="16" t="str">
        <f>IMAGE("https://lmztiles.s3.eu-west-1.amazonaws.com/Modern_Interiors_v41.3.4/1_Interiors/16x16/Theme_Sorter_Singles/21_Clothing_Store_Singles/Clothing_Store_Singles_333.png")</f>
        <v/>
      </c>
    </row>
    <row r="321" ht="36.0" customHeight="1">
      <c r="A321" s="16" t="s">
        <v>4937</v>
      </c>
      <c r="B321" s="16" t="str">
        <f>IMAGE("https://lmztiles.s3.eu-west-1.amazonaws.com/Modern_Interiors_v41.3.4/1_Interiors/16x16/Theme_Sorter_Singles/21_Clothing_Store_Singles/Clothing_Store_Singles_334.png")</f>
        <v/>
      </c>
    </row>
    <row r="322" ht="36.0" customHeight="1">
      <c r="A322" s="16" t="s">
        <v>4938</v>
      </c>
      <c r="B322" s="16" t="str">
        <f>IMAGE("https://lmztiles.s3.eu-west-1.amazonaws.com/Modern_Interiors_v41.3.4/1_Interiors/16x16/Theme_Sorter_Singles/21_Clothing_Store_Singles/Clothing_Store_Singles_335.png")</f>
        <v/>
      </c>
    </row>
    <row r="323" ht="36.0" customHeight="1">
      <c r="A323" s="16" t="s">
        <v>4939</v>
      </c>
      <c r="B323" s="16" t="str">
        <f>IMAGE("https://lmztiles.s3.eu-west-1.amazonaws.com/Modern_Interiors_v41.3.4/1_Interiors/16x16/Theme_Sorter_Singles/21_Clothing_Store_Singles/Clothing_Store_Singles_336.png")</f>
        <v/>
      </c>
    </row>
    <row r="324" ht="36.0" customHeight="1">
      <c r="A324" s="16" t="s">
        <v>4940</v>
      </c>
      <c r="B324" s="16" t="str">
        <f>IMAGE("https://lmztiles.s3.eu-west-1.amazonaws.com/Modern_Interiors_v41.3.4/1_Interiors/16x16/Theme_Sorter_Singles/21_Clothing_Store_Singles/Clothing_Store_Singles_337.png")</f>
        <v/>
      </c>
    </row>
    <row r="325" ht="36.0" customHeight="1">
      <c r="A325" s="16" t="s">
        <v>4941</v>
      </c>
      <c r="B325" s="16" t="str">
        <f>IMAGE("https://lmztiles.s3.eu-west-1.amazonaws.com/Modern_Interiors_v41.3.4/1_Interiors/16x16/Theme_Sorter_Singles/21_Clothing_Store_Singles/Clothing_Store_Singles_338.png")</f>
        <v/>
      </c>
    </row>
    <row r="326" ht="36.0" customHeight="1">
      <c r="A326" s="16" t="s">
        <v>4942</v>
      </c>
      <c r="B326" s="16" t="str">
        <f>IMAGE("https://lmztiles.s3.eu-west-1.amazonaws.com/Modern_Interiors_v41.3.4/1_Interiors/16x16/Theme_Sorter_Singles/21_Clothing_Store_Singles/Clothing_Store_Singles_339.png")</f>
        <v/>
      </c>
    </row>
    <row r="327" ht="36.0" customHeight="1">
      <c r="A327" s="16" t="s">
        <v>4943</v>
      </c>
      <c r="B327" s="16" t="str">
        <f>IMAGE("https://lmztiles.s3.eu-west-1.amazonaws.com/Modern_Interiors_v41.3.4/1_Interiors/16x16/Theme_Sorter_Singles/21_Clothing_Store_Singles/Clothing_Store_Singles_340.png")</f>
        <v/>
      </c>
    </row>
    <row r="328" ht="36.0" customHeight="1">
      <c r="A328" s="16" t="s">
        <v>4944</v>
      </c>
      <c r="B328" s="16" t="str">
        <f>IMAGE("https://lmztiles.s3.eu-west-1.amazonaws.com/Modern_Interiors_v41.3.4/1_Interiors/16x16/Theme_Sorter_Singles/21_Clothing_Store_Singles/Clothing_Store_Singles_341.png")</f>
        <v/>
      </c>
    </row>
    <row r="329" ht="36.0" customHeight="1">
      <c r="A329" s="16" t="s">
        <v>4945</v>
      </c>
      <c r="B329" s="16" t="str">
        <f>IMAGE("https://lmztiles.s3.eu-west-1.amazonaws.com/Modern_Interiors_v41.3.4/1_Interiors/16x16/Theme_Sorter_Singles/21_Clothing_Store_Singles/Clothing_Store_Singles_342.png")</f>
        <v/>
      </c>
    </row>
    <row r="330" ht="36.0" customHeight="1">
      <c r="A330" s="16" t="s">
        <v>4946</v>
      </c>
      <c r="B330" s="16" t="str">
        <f>IMAGE("https://lmztiles.s3.eu-west-1.amazonaws.com/Modern_Interiors_v41.3.4/1_Interiors/16x16/Theme_Sorter_Singles/21_Clothing_Store_Singles/Clothing_Store_Singles_343.png")</f>
        <v/>
      </c>
    </row>
    <row r="331" ht="36.0" customHeight="1">
      <c r="A331" s="16" t="s">
        <v>4947</v>
      </c>
      <c r="B331" s="16" t="str">
        <f>IMAGE("https://lmztiles.s3.eu-west-1.amazonaws.com/Modern_Interiors_v41.3.4/1_Interiors/16x16/Theme_Sorter_Singles/21_Clothing_Store_Singles/Clothing_Store_Singles_344.png")</f>
        <v/>
      </c>
    </row>
    <row r="332" ht="36.0" customHeight="1">
      <c r="A332" s="16" t="s">
        <v>4948</v>
      </c>
      <c r="B332" s="16" t="str">
        <f>IMAGE("https://lmztiles.s3.eu-west-1.amazonaws.com/Modern_Interiors_v41.3.4/1_Interiors/16x16/Theme_Sorter_Singles/21_Clothing_Store_Singles/Clothing_Store_Singles_345.png")</f>
        <v/>
      </c>
    </row>
    <row r="333" ht="36.0" customHeight="1">
      <c r="A333" s="16" t="s">
        <v>4949</v>
      </c>
      <c r="B333" s="16" t="str">
        <f>IMAGE("https://lmztiles.s3.eu-west-1.amazonaws.com/Modern_Interiors_v41.3.4/1_Interiors/16x16/Theme_Sorter_Singles/21_Clothing_Store_Singles/Clothing_Store_Singles_346.png")</f>
        <v/>
      </c>
    </row>
    <row r="334" ht="36.0" customHeight="1">
      <c r="A334" s="16" t="s">
        <v>4950</v>
      </c>
      <c r="B334" s="16" t="str">
        <f>IMAGE("https://lmztiles.s3.eu-west-1.amazonaws.com/Modern_Interiors_v41.3.4/1_Interiors/16x16/Theme_Sorter_Singles/21_Clothing_Store_Singles/Clothing_Store_Singles_347.png")</f>
        <v/>
      </c>
    </row>
    <row r="335" ht="36.0" customHeight="1">
      <c r="A335" s="16" t="s">
        <v>4951</v>
      </c>
      <c r="B335" s="16" t="str">
        <f>IMAGE("https://lmztiles.s3.eu-west-1.amazonaws.com/Modern_Interiors_v41.3.4/1_Interiors/16x16/Theme_Sorter_Singles/21_Clothing_Store_Singles/Clothing_Store_Singles_348.png")</f>
        <v/>
      </c>
    </row>
    <row r="336" ht="36.0" customHeight="1">
      <c r="A336" s="16" t="s">
        <v>4952</v>
      </c>
      <c r="B336" s="16" t="str">
        <f>IMAGE("https://lmztiles.s3.eu-west-1.amazonaws.com/Modern_Interiors_v41.3.4/1_Interiors/16x16/Theme_Sorter_Singles/21_Clothing_Store_Singles/Clothing_Store_Singles_349.png")</f>
        <v/>
      </c>
    </row>
    <row r="337" ht="36.0" customHeight="1">
      <c r="A337" s="16" t="s">
        <v>4953</v>
      </c>
      <c r="B337" s="16" t="str">
        <f>IMAGE("https://lmztiles.s3.eu-west-1.amazonaws.com/Modern_Interiors_v41.3.4/1_Interiors/16x16/Theme_Sorter_Singles/21_Clothing_Store_Singles/Clothing_Store_Singles_350.png")</f>
        <v/>
      </c>
    </row>
    <row r="338" ht="36.0" customHeight="1">
      <c r="A338" s="16" t="s">
        <v>4954</v>
      </c>
      <c r="B338" s="16" t="str">
        <f>IMAGE("https://lmztiles.s3.eu-west-1.amazonaws.com/Modern_Interiors_v41.3.4/1_Interiors/16x16/Theme_Sorter_Singles/21_Clothing_Store_Singles/Clothing_Store_Singles_351.png")</f>
        <v/>
      </c>
    </row>
    <row r="339" ht="36.0" customHeight="1">
      <c r="A339" s="16" t="s">
        <v>4955</v>
      </c>
      <c r="B339" s="16" t="str">
        <f>IMAGE("https://lmztiles.s3.eu-west-1.amazonaws.com/Modern_Interiors_v41.3.4/1_Interiors/16x16/Theme_Sorter_Singles/21_Clothing_Store_Singles/Clothing_Store_Singles_352.png")</f>
        <v/>
      </c>
    </row>
    <row r="340" ht="36.0" customHeight="1">
      <c r="A340" s="16" t="s">
        <v>4956</v>
      </c>
      <c r="B340" s="16" t="str">
        <f>IMAGE("https://lmztiles.s3.eu-west-1.amazonaws.com/Modern_Interiors_v41.3.4/1_Interiors/16x16/Theme_Sorter_Singles/21_Clothing_Store_Singles/Clothing_Store_Singles_353.png")</f>
        <v/>
      </c>
    </row>
    <row r="341" ht="36.0" customHeight="1">
      <c r="A341" s="16" t="s">
        <v>4957</v>
      </c>
      <c r="B341" s="16" t="str">
        <f>IMAGE("https://lmztiles.s3.eu-west-1.amazonaws.com/Modern_Interiors_v41.3.4/1_Interiors/16x16/Theme_Sorter_Singles/21_Clothing_Store_Singles/Clothing_Store_Singles_354.png")</f>
        <v/>
      </c>
    </row>
    <row r="342" ht="36.0" customHeight="1">
      <c r="A342" s="16" t="s">
        <v>4958</v>
      </c>
      <c r="B342" s="16" t="str">
        <f>IMAGE("https://lmztiles.s3.eu-west-1.amazonaws.com/Modern_Interiors_v41.3.4/1_Interiors/16x16/Theme_Sorter_Singles/21_Clothing_Store_Singles/Clothing_Store_Singles_355.png")</f>
        <v/>
      </c>
    </row>
    <row r="343" ht="36.0" customHeight="1">
      <c r="A343" s="16" t="s">
        <v>4959</v>
      </c>
      <c r="B343" s="16" t="str">
        <f>IMAGE("https://lmztiles.s3.eu-west-1.amazonaws.com/Modern_Interiors_v41.3.4/1_Interiors/16x16/Theme_Sorter_Singles/21_Clothing_Store_Singles/Clothing_Store_Singles_356.png")</f>
        <v/>
      </c>
    </row>
    <row r="344" ht="36.0" customHeight="1">
      <c r="A344" s="16" t="s">
        <v>4960</v>
      </c>
      <c r="B344" s="16" t="str">
        <f>IMAGE("https://lmztiles.s3.eu-west-1.amazonaws.com/Modern_Interiors_v41.3.4/1_Interiors/16x16/Theme_Sorter_Singles/21_Clothing_Store_Singles/Clothing_Store_Singles_357.png")</f>
        <v/>
      </c>
    </row>
    <row r="345" ht="36.0" customHeight="1">
      <c r="A345" s="16" t="s">
        <v>4961</v>
      </c>
      <c r="B345" s="16" t="str">
        <f>IMAGE("https://lmztiles.s3.eu-west-1.amazonaws.com/Modern_Interiors_v41.3.4/1_Interiors/16x16/Theme_Sorter_Singles/21_Clothing_Store_Singles/Clothing_Store_Singles_358.png")</f>
        <v/>
      </c>
    </row>
    <row r="346" ht="36.0" customHeight="1">
      <c r="A346" s="16" t="s">
        <v>4962</v>
      </c>
      <c r="B346" s="16" t="str">
        <f>IMAGE("https://lmztiles.s3.eu-west-1.amazonaws.com/Modern_Interiors_v41.3.4/1_Interiors/16x16/Theme_Sorter_Singles/21_Clothing_Store_Singles/Clothing_Store_Singles_359.png")</f>
        <v/>
      </c>
    </row>
    <row r="347" ht="36.0" customHeight="1">
      <c r="A347" s="16" t="s">
        <v>4963</v>
      </c>
      <c r="B347" s="16" t="str">
        <f>IMAGE("https://lmztiles.s3.eu-west-1.amazonaws.com/Modern_Interiors_v41.3.4/1_Interiors/16x16/Theme_Sorter_Singles/21_Clothing_Store_Singles/Clothing_Store_Singles_360.png")</f>
        <v/>
      </c>
    </row>
    <row r="348" ht="36.0" customHeight="1">
      <c r="A348" s="16" t="s">
        <v>4964</v>
      </c>
      <c r="B348" s="16" t="str">
        <f>IMAGE("https://lmztiles.s3.eu-west-1.amazonaws.com/Modern_Interiors_v41.3.4/1_Interiors/16x16/Theme_Sorter_Singles/21_Clothing_Store_Singles/Clothing_Store_Singles_361.png")</f>
        <v/>
      </c>
    </row>
    <row r="349" ht="36.0" customHeight="1">
      <c r="A349" s="16" t="s">
        <v>4965</v>
      </c>
      <c r="B349" s="16" t="str">
        <f>IMAGE("https://lmztiles.s3.eu-west-1.amazonaws.com/Modern_Interiors_v41.3.4/1_Interiors/16x16/Theme_Sorter_Singles/21_Clothing_Store_Singles/Clothing_Store_Singles_362.png")</f>
        <v/>
      </c>
    </row>
    <row r="350" ht="36.0" customHeight="1">
      <c r="A350" s="16" t="s">
        <v>4966</v>
      </c>
      <c r="B350" s="16" t="str">
        <f>IMAGE("https://lmztiles.s3.eu-west-1.amazonaws.com/Modern_Interiors_v41.3.4/1_Interiors/16x16/Theme_Sorter_Singles/21_Clothing_Store_Singles/Clothing_Store_Singles_363.png")</f>
        <v/>
      </c>
    </row>
    <row r="351" ht="36.0" customHeight="1">
      <c r="A351" s="16" t="s">
        <v>4967</v>
      </c>
      <c r="B351" s="16" t="str">
        <f>IMAGE("https://lmztiles.s3.eu-west-1.amazonaws.com/Modern_Interiors_v41.3.4/1_Interiors/16x16/Theme_Sorter_Singles/21_Clothing_Store_Singles/Clothing_Store_Singles_364.png")</f>
        <v/>
      </c>
    </row>
    <row r="352" ht="36.0" customHeight="1">
      <c r="A352" s="16" t="s">
        <v>4968</v>
      </c>
      <c r="B352" s="16" t="str">
        <f>IMAGE("https://lmztiles.s3.eu-west-1.amazonaws.com/Modern_Interiors_v41.3.4/1_Interiors/16x16/Theme_Sorter_Singles/21_Clothing_Store_Singles/Clothing_Store_Singles_365.png")</f>
        <v/>
      </c>
    </row>
    <row r="353" ht="36.0" customHeight="1">
      <c r="A353" s="16" t="s">
        <v>4969</v>
      </c>
      <c r="B353" s="16" t="str">
        <f>IMAGE("https://lmztiles.s3.eu-west-1.amazonaws.com/Modern_Interiors_v41.3.4/1_Interiors/16x16/Theme_Sorter_Singles/21_Clothing_Store_Singles/Clothing_Store_Singles_366.png")</f>
        <v/>
      </c>
    </row>
    <row r="354" ht="36.0" customHeight="1">
      <c r="A354" s="16" t="s">
        <v>4970</v>
      </c>
      <c r="B354" s="16" t="str">
        <f>IMAGE("https://lmztiles.s3.eu-west-1.amazonaws.com/Modern_Interiors_v41.3.4/1_Interiors/16x16/Theme_Sorter_Singles/21_Clothing_Store_Singles/Clothing_Store_Singles_367.png")</f>
        <v/>
      </c>
    </row>
    <row r="355" ht="36.0" customHeight="1">
      <c r="A355" s="16" t="s">
        <v>4971</v>
      </c>
      <c r="B355" s="16" t="str">
        <f>IMAGE("https://lmztiles.s3.eu-west-1.amazonaws.com/Modern_Interiors_v41.3.4/1_Interiors/16x16/Theme_Sorter_Singles/21_Clothing_Store_Singles/Clothing_Store_Singles_368.png")</f>
        <v/>
      </c>
    </row>
    <row r="356" ht="36.0" customHeight="1">
      <c r="A356" s="16" t="s">
        <v>4972</v>
      </c>
      <c r="B356" s="16" t="str">
        <f>IMAGE("https://lmztiles.s3.eu-west-1.amazonaws.com/Modern_Interiors_v41.3.4/1_Interiors/16x16/Theme_Sorter_Singles/21_Clothing_Store_Singles/Clothing_Store_Singles_369.png")</f>
        <v/>
      </c>
    </row>
    <row r="357" ht="36.0" customHeight="1">
      <c r="A357" s="16" t="s">
        <v>4973</v>
      </c>
      <c r="B357" s="16" t="str">
        <f>IMAGE("https://lmztiles.s3.eu-west-1.amazonaws.com/Modern_Interiors_v41.3.4/1_Interiors/16x16/Theme_Sorter_Singles/21_Clothing_Store_Singles/Clothing_Store_Singles_370.png")</f>
        <v/>
      </c>
    </row>
    <row r="358" ht="36.0" customHeight="1">
      <c r="A358" s="16" t="s">
        <v>4974</v>
      </c>
      <c r="B358" s="16" t="str">
        <f>IMAGE("https://lmztiles.s3.eu-west-1.amazonaws.com/Modern_Interiors_v41.3.4/1_Interiors/16x16/Theme_Sorter_Singles/21_Clothing_Store_Singles/Clothing_Store_Singles_371.png")</f>
        <v/>
      </c>
    </row>
    <row r="359" ht="36.0" customHeight="1">
      <c r="A359" s="16" t="s">
        <v>4975</v>
      </c>
      <c r="B359" s="16" t="str">
        <f>IMAGE("https://lmztiles.s3.eu-west-1.amazonaws.com/Modern_Interiors_v41.3.4/1_Interiors/16x16/Theme_Sorter_Singles/21_Clothing_Store_Singles/Clothing_Store_Singles_372.png")</f>
        <v/>
      </c>
    </row>
    <row r="360" ht="36.0" customHeight="1">
      <c r="A360" s="16" t="s">
        <v>4976</v>
      </c>
      <c r="B360" s="16" t="str">
        <f>IMAGE("https://lmztiles.s3.eu-west-1.amazonaws.com/Modern_Interiors_v41.3.4/1_Interiors/16x16/Theme_Sorter_Singles/21_Clothing_Store_Singles/Clothing_Store_Singles_373.png")</f>
        <v/>
      </c>
    </row>
    <row r="361" ht="36.0" customHeight="1">
      <c r="A361" s="16" t="s">
        <v>4977</v>
      </c>
      <c r="B361" s="16" t="str">
        <f>IMAGE("https://lmztiles.s3.eu-west-1.amazonaws.com/Modern_Interiors_v41.3.4/1_Interiors/16x16/Theme_Sorter_Singles/21_Clothing_Store_Singles/Clothing_Store_Singles_374.png")</f>
        <v/>
      </c>
    </row>
    <row r="362" ht="36.0" customHeight="1">
      <c r="A362" s="16" t="s">
        <v>4978</v>
      </c>
      <c r="B362" s="16" t="str">
        <f>IMAGE("https://lmztiles.s3.eu-west-1.amazonaws.com/Modern_Interiors_v41.3.4/1_Interiors/16x16/Theme_Sorter_Singles/21_Clothing_Store_Singles/Clothing_Store_Singles_375.png")</f>
        <v/>
      </c>
    </row>
    <row r="363" ht="36.0" customHeight="1">
      <c r="A363" s="16" t="s">
        <v>4979</v>
      </c>
      <c r="B363" s="16" t="str">
        <f>IMAGE("https://lmztiles.s3.eu-west-1.amazonaws.com/Modern_Interiors_v41.3.4/1_Interiors/16x16/Theme_Sorter_Singles/21_Clothing_Store_Singles/Clothing_Store_Singles_376.png")</f>
        <v/>
      </c>
    </row>
    <row r="364" ht="36.0" customHeight="1">
      <c r="A364" s="16" t="s">
        <v>4980</v>
      </c>
      <c r="B364" s="16" t="str">
        <f>IMAGE("https://lmztiles.s3.eu-west-1.amazonaws.com/Modern_Interiors_v41.3.4/1_Interiors/16x16/Theme_Sorter_Singles/21_Clothing_Store_Singles/Clothing_Store_Singles_377.png")</f>
        <v/>
      </c>
    </row>
    <row r="365" ht="36.0" customHeight="1">
      <c r="A365" s="16" t="s">
        <v>4981</v>
      </c>
      <c r="B365" s="16" t="str">
        <f>IMAGE("https://lmztiles.s3.eu-west-1.amazonaws.com/Modern_Interiors_v41.3.4/1_Interiors/16x16/Theme_Sorter_Singles/21_Clothing_Store_Singles/Clothing_Store_Singles_378.png")</f>
        <v/>
      </c>
    </row>
    <row r="366" ht="36.0" customHeight="1">
      <c r="A366" s="16" t="s">
        <v>4982</v>
      </c>
      <c r="B366" s="16" t="str">
        <f>IMAGE("https://lmztiles.s3.eu-west-1.amazonaws.com/Modern_Interiors_v41.3.4/1_Interiors/16x16/Theme_Sorter_Singles/21_Clothing_Store_Singles/Clothing_Store_Singles_379.png")</f>
        <v/>
      </c>
    </row>
    <row r="367" ht="36.0" customHeight="1">
      <c r="A367" s="16" t="s">
        <v>4983</v>
      </c>
      <c r="B367" s="16" t="str">
        <f>IMAGE("https://lmztiles.s3.eu-west-1.amazonaws.com/Modern_Interiors_v41.3.4/1_Interiors/16x16/Theme_Sorter_Singles/21_Clothing_Store_Singles/Clothing_Store_Singles_380.png")</f>
        <v/>
      </c>
    </row>
    <row r="368" ht="36.0" customHeight="1">
      <c r="A368" s="16" t="s">
        <v>4984</v>
      </c>
      <c r="B368" s="16" t="str">
        <f>IMAGE("https://lmztiles.s3.eu-west-1.amazonaws.com/Modern_Interiors_v41.3.4/1_Interiors/16x16/Theme_Sorter_Singles/21_Clothing_Store_Singles/Clothing_Store_Singles_381.png")</f>
        <v/>
      </c>
    </row>
    <row r="369" ht="36.0" customHeight="1">
      <c r="A369" s="16" t="s">
        <v>4985</v>
      </c>
      <c r="B369" s="16" t="str">
        <f>IMAGE("https://lmztiles.s3.eu-west-1.amazonaws.com/Modern_Interiors_v41.3.4/1_Interiors/16x16/Theme_Sorter_Singles/21_Clothing_Store_Singles/Clothing_Store_Singles_382.png")</f>
        <v/>
      </c>
    </row>
    <row r="370" ht="36.0" customHeight="1">
      <c r="A370" s="16" t="s">
        <v>4986</v>
      </c>
      <c r="B370" s="16" t="str">
        <f>IMAGE("https://lmztiles.s3.eu-west-1.amazonaws.com/Modern_Interiors_v41.3.4/1_Interiors/16x16/Theme_Sorter_Singles/21_Clothing_Store_Singles/Clothing_Store_Singles_383.png")</f>
        <v/>
      </c>
    </row>
    <row r="371" ht="36.0" customHeight="1">
      <c r="A371" s="16" t="s">
        <v>4987</v>
      </c>
      <c r="B371" s="16" t="str">
        <f>IMAGE("https://lmztiles.s3.eu-west-1.amazonaws.com/Modern_Interiors_v41.3.4/1_Interiors/16x16/Theme_Sorter_Singles/21_Clothing_Store_Singles/Clothing_Store_Singles_384.png")</f>
        <v/>
      </c>
    </row>
    <row r="372" ht="36.0" customHeight="1">
      <c r="A372" s="16" t="s">
        <v>4988</v>
      </c>
      <c r="B372" s="16" t="str">
        <f>IMAGE("https://lmztiles.s3.eu-west-1.amazonaws.com/Modern_Interiors_v41.3.4/1_Interiors/16x16/Theme_Sorter_Singles/21_Clothing_Store_Singles/Clothing_Store_Singles_385.png")</f>
        <v/>
      </c>
    </row>
    <row r="373" ht="36.0" customHeight="1">
      <c r="A373" s="16" t="s">
        <v>4989</v>
      </c>
      <c r="B373" s="16" t="str">
        <f>IMAGE("https://lmztiles.s3.eu-west-1.amazonaws.com/Modern_Interiors_v41.3.4/1_Interiors/16x16/Theme_Sorter_Singles/21_Clothing_Store_Singles/Clothing_Store_Singles_386.png")</f>
        <v/>
      </c>
    </row>
    <row r="374" ht="36.0" customHeight="1">
      <c r="A374" s="16" t="s">
        <v>4990</v>
      </c>
      <c r="B374" s="16" t="str">
        <f>IMAGE("https://lmztiles.s3.eu-west-1.amazonaws.com/Modern_Interiors_v41.3.4/1_Interiors/16x16/Theme_Sorter_Singles/21_Clothing_Store_Singles/Clothing_Store_Singles_387.png")</f>
        <v/>
      </c>
    </row>
    <row r="375" ht="36.0" customHeight="1">
      <c r="A375" s="16" t="s">
        <v>4991</v>
      </c>
      <c r="B375" s="16" t="str">
        <f>IMAGE("https://lmztiles.s3.eu-west-1.amazonaws.com/Modern_Interiors_v41.3.4/1_Interiors/16x16/Theme_Sorter_Singles/21_Clothing_Store_Singles/Clothing_Store_Singles_388.png")</f>
        <v/>
      </c>
    </row>
    <row r="376" ht="36.0" customHeight="1">
      <c r="A376" s="16" t="s">
        <v>4992</v>
      </c>
      <c r="B376" s="16" t="str">
        <f>IMAGE("https://lmztiles.s3.eu-west-1.amazonaws.com/Modern_Interiors_v41.3.4/1_Interiors/16x16/Theme_Sorter_Singles/21_Clothing_Store_Singles/Clothing_Store_Singles_389.png")</f>
        <v/>
      </c>
    </row>
    <row r="377" ht="36.0" customHeight="1">
      <c r="A377" s="16" t="s">
        <v>4993</v>
      </c>
      <c r="B377" s="16" t="str">
        <f>IMAGE("https://lmztiles.s3.eu-west-1.amazonaws.com/Modern_Interiors_v41.3.4/1_Interiors/16x16/Theme_Sorter_Singles/21_Clothing_Store_Singles/Clothing_Store_Singles_390.png")</f>
        <v/>
      </c>
    </row>
    <row r="378" ht="36.0" customHeight="1">
      <c r="A378" s="16" t="s">
        <v>4994</v>
      </c>
      <c r="B378" s="16" t="str">
        <f>IMAGE("https://lmztiles.s3.eu-west-1.amazonaws.com/Modern_Interiors_v41.3.4/1_Interiors/16x16/Theme_Sorter_Singles/21_Clothing_Store_Singles/Clothing_Store_Singles_391.png")</f>
        <v/>
      </c>
    </row>
    <row r="379" ht="36.0" customHeight="1">
      <c r="A379" s="16" t="s">
        <v>4995</v>
      </c>
      <c r="B379" s="16" t="str">
        <f>IMAGE("https://lmztiles.s3.eu-west-1.amazonaws.com/Modern_Interiors_v41.3.4/1_Interiors/16x16/Theme_Sorter_Singles/21_Clothing_Store_Singles/Clothing_Store_Singles_392.png")</f>
        <v/>
      </c>
    </row>
    <row r="380" ht="36.0" customHeight="1">
      <c r="A380" s="16" t="s">
        <v>4996</v>
      </c>
      <c r="B380" s="16" t="str">
        <f>IMAGE("https://lmztiles.s3.eu-west-1.amazonaws.com/Modern_Interiors_v41.3.4/1_Interiors/16x16/Theme_Sorter_Singles/21_Clothing_Store_Singles/Clothing_Store_Singles_393.png")</f>
        <v/>
      </c>
    </row>
    <row r="381" ht="36.0" customHeight="1">
      <c r="A381" s="16" t="s">
        <v>4997</v>
      </c>
      <c r="B381" s="16" t="str">
        <f>IMAGE("https://lmztiles.s3.eu-west-1.amazonaws.com/Modern_Interiors_v41.3.4/1_Interiors/16x16/Theme_Sorter_Singles/21_Clothing_Store_Singles/Clothing_Store_Singles_394.png")</f>
        <v/>
      </c>
    </row>
    <row r="382" ht="36.0" customHeight="1">
      <c r="A382" s="16" t="s">
        <v>4998</v>
      </c>
      <c r="B382" s="16" t="str">
        <f>IMAGE("https://lmztiles.s3.eu-west-1.amazonaws.com/Modern_Interiors_v41.3.4/1_Interiors/16x16/Theme_Sorter_Singles/21_Clothing_Store_Singles/Clothing_Store_Singles_395.png")</f>
        <v/>
      </c>
    </row>
    <row r="383" ht="36.0" customHeight="1">
      <c r="A383" s="16" t="s">
        <v>4999</v>
      </c>
      <c r="B383" s="16" t="str">
        <f>IMAGE("https://lmztiles.s3.eu-west-1.amazonaws.com/Modern_Interiors_v41.3.4/1_Interiors/16x16/Theme_Sorter_Singles/21_Clothing_Store_Singles/Clothing_Store_Singles_396.png")</f>
        <v/>
      </c>
    </row>
    <row r="384" ht="36.0" customHeight="1">
      <c r="A384" s="16" t="s">
        <v>5000</v>
      </c>
      <c r="B384" s="16" t="str">
        <f>IMAGE("https://lmztiles.s3.eu-west-1.amazonaws.com/Modern_Interiors_v41.3.4/1_Interiors/16x16/Theme_Sorter_Singles/21_Clothing_Store_Singles/Clothing_Store_Singles_397.png")</f>
        <v/>
      </c>
    </row>
    <row r="385" ht="36.0" customHeight="1">
      <c r="A385" s="16" t="s">
        <v>5001</v>
      </c>
      <c r="B385" s="16" t="str">
        <f>IMAGE("https://lmztiles.s3.eu-west-1.amazonaws.com/Modern_Interiors_v41.3.4/1_Interiors/16x16/Theme_Sorter_Singles/21_Clothing_Store_Singles/Clothing_Store_Singles_398.png")</f>
        <v/>
      </c>
    </row>
    <row r="386" ht="36.0" customHeight="1">
      <c r="A386" s="16" t="s">
        <v>5002</v>
      </c>
      <c r="B386" s="16" t="str">
        <f>IMAGE("https://lmztiles.s3.eu-west-1.amazonaws.com/Modern_Interiors_v41.3.4/1_Interiors/16x16/Theme_Sorter_Singles/21_Clothing_Store_Singles/Clothing_Store_Singles_399.png")</f>
        <v/>
      </c>
    </row>
    <row r="387" ht="36.0" customHeight="1">
      <c r="A387" s="16" t="s">
        <v>5003</v>
      </c>
      <c r="B387" s="16" t="str">
        <f>IMAGE("https://lmztiles.s3.eu-west-1.amazonaws.com/Modern_Interiors_v41.3.4/1_Interiors/16x16/Theme_Sorter_Singles/21_Clothing_Store_Singles/Clothing_Store_Singles_400.png")</f>
        <v/>
      </c>
    </row>
    <row r="388" ht="36.0" customHeight="1">
      <c r="A388" s="16" t="s">
        <v>5004</v>
      </c>
      <c r="B388" s="16" t="str">
        <f>IMAGE("https://lmztiles.s3.eu-west-1.amazonaws.com/Modern_Interiors_v41.3.4/1_Interiors/16x16/Theme_Sorter_Singles/21_Clothing_Store_Singles/Clothing_Store_Singles_401.png")</f>
        <v/>
      </c>
    </row>
    <row r="389" ht="36.0" customHeight="1">
      <c r="A389" s="16" t="s">
        <v>5005</v>
      </c>
      <c r="B389" s="16" t="str">
        <f>IMAGE("https://lmztiles.s3.eu-west-1.amazonaws.com/Modern_Interiors_v41.3.4/1_Interiors/16x16/Theme_Sorter_Singles/21_Clothing_Store_Singles/Clothing_Store_Singles_402.png")</f>
        <v/>
      </c>
    </row>
    <row r="390" ht="36.0" customHeight="1">
      <c r="A390" s="16" t="s">
        <v>5006</v>
      </c>
      <c r="B390" s="16" t="str">
        <f>IMAGE("https://lmztiles.s3.eu-west-1.amazonaws.com/Modern_Interiors_v41.3.4/1_Interiors/16x16/Theme_Sorter_Singles/21_Clothing_Store_Singles/Clothing_Store_Singles_403.png")</f>
        <v/>
      </c>
    </row>
    <row r="391" ht="36.0" customHeight="1">
      <c r="A391" s="16" t="s">
        <v>5007</v>
      </c>
      <c r="B391" s="16" t="str">
        <f>IMAGE("https://lmztiles.s3.eu-west-1.amazonaws.com/Modern_Interiors_v41.3.4/1_Interiors/16x16/Theme_Sorter_Singles/21_Clothing_Store_Singles/Clothing_Store_Singles_404.png")</f>
        <v/>
      </c>
    </row>
    <row r="392" ht="36.0" customHeight="1">
      <c r="A392" s="16" t="s">
        <v>5008</v>
      </c>
      <c r="B392" s="16" t="str">
        <f>IMAGE("https://lmztiles.s3.eu-west-1.amazonaws.com/Modern_Interiors_v41.3.4/1_Interiors/16x16/Theme_Sorter_Singles/21_Clothing_Store_Singles/Clothing_Store_Singles_405.png")</f>
        <v/>
      </c>
    </row>
    <row r="393" ht="36.0" customHeight="1">
      <c r="A393" s="16" t="s">
        <v>5009</v>
      </c>
      <c r="B393" s="16" t="str">
        <f>IMAGE("https://lmztiles.s3.eu-west-1.amazonaws.com/Modern_Interiors_v41.3.4/1_Interiors/16x16/Theme_Sorter_Singles/21_Clothing_Store_Singles/Clothing_Store_Singles_406.png")</f>
        <v/>
      </c>
    </row>
    <row r="394" ht="36.0" customHeight="1">
      <c r="A394" s="16" t="s">
        <v>5010</v>
      </c>
      <c r="B394" s="16" t="str">
        <f>IMAGE("https://lmztiles.s3.eu-west-1.amazonaws.com/Modern_Interiors_v41.3.4/1_Interiors/16x16/Theme_Sorter_Singles/21_Clothing_Store_Singles/Clothing_Store_Singles_407.png")</f>
        <v/>
      </c>
    </row>
    <row r="395" ht="36.0" customHeight="1">
      <c r="A395" s="16" t="s">
        <v>5011</v>
      </c>
      <c r="B395" s="16" t="str">
        <f>IMAGE("https://lmztiles.s3.eu-west-1.amazonaws.com/Modern_Interiors_v41.3.4/1_Interiors/16x16/Theme_Sorter_Singles/21_Clothing_Store_Singles/Clothing_Store_Singles_408.png")</f>
        <v/>
      </c>
    </row>
    <row r="396" ht="36.0" customHeight="1">
      <c r="A396" s="16" t="s">
        <v>5012</v>
      </c>
      <c r="B396" s="16" t="str">
        <f>IMAGE("https://lmztiles.s3.eu-west-1.amazonaws.com/Modern_Interiors_v41.3.4/1_Interiors/16x16/Theme_Sorter_Singles/21_Clothing_Store_Singles/Clothing_Store_Singles_409.png")</f>
        <v/>
      </c>
    </row>
    <row r="397" ht="36.0" customHeight="1">
      <c r="A397" s="16" t="s">
        <v>5013</v>
      </c>
      <c r="B397" s="16" t="str">
        <f>IMAGE("https://lmztiles.s3.eu-west-1.amazonaws.com/Modern_Interiors_v41.3.4/1_Interiors/16x16/Theme_Sorter_Singles/21_Clothing_Store_Singles/Clothing_Store_Singles_410.png")</f>
        <v/>
      </c>
    </row>
    <row r="398" ht="36.0" customHeight="1">
      <c r="A398" s="16" t="s">
        <v>5014</v>
      </c>
      <c r="B398" s="16" t="str">
        <f>IMAGE("https://lmztiles.s3.eu-west-1.amazonaws.com/Modern_Interiors_v41.3.4/1_Interiors/16x16/Theme_Sorter_Singles/21_Clothing_Store_Singles/Clothing_Store_Singles_411.png")</f>
        <v/>
      </c>
    </row>
    <row r="399" ht="36.0" customHeight="1">
      <c r="A399" s="16" t="s">
        <v>5015</v>
      </c>
      <c r="B399" s="16" t="str">
        <f>IMAGE("https://lmztiles.s3.eu-west-1.amazonaws.com/Modern_Interiors_v41.3.4/1_Interiors/16x16/Theme_Sorter_Singles/21_Clothing_Store_Singles/Clothing_Store_Singles_412.png")</f>
        <v/>
      </c>
    </row>
    <row r="400" ht="36.0" customHeight="1">
      <c r="A400" s="16" t="s">
        <v>5016</v>
      </c>
      <c r="B400" s="16" t="str">
        <f>IMAGE("https://lmztiles.s3.eu-west-1.amazonaws.com/Modern_Interiors_v41.3.4/1_Interiors/16x16/Theme_Sorter_Singles/21_Clothing_Store_Singles/Clothing_Store_Singles_413.png")</f>
        <v/>
      </c>
    </row>
    <row r="401" ht="36.0" customHeight="1">
      <c r="A401" s="16" t="s">
        <v>5017</v>
      </c>
      <c r="B401" s="16" t="str">
        <f>IMAGE("https://lmztiles.s3.eu-west-1.amazonaws.com/Modern_Interiors_v41.3.4/1_Interiors/16x16/Theme_Sorter_Singles/21_Clothing_Store_Singles/Clothing_Store_Singles_414.png")</f>
        <v/>
      </c>
    </row>
    <row r="402" ht="36.0" customHeight="1">
      <c r="A402" s="16" t="s">
        <v>5018</v>
      </c>
      <c r="B402" s="16" t="str">
        <f>IMAGE("https://lmztiles.s3.eu-west-1.amazonaws.com/Modern_Interiors_v41.3.4/1_Interiors/16x16/Theme_Sorter_Singles/21_Clothing_Store_Singles/Clothing_Store_Singles_415.png")</f>
        <v/>
      </c>
    </row>
    <row r="403" ht="36.0" customHeight="1">
      <c r="A403" s="16" t="s">
        <v>5019</v>
      </c>
      <c r="B403" s="16" t="str">
        <f>IMAGE("https://lmztiles.s3.eu-west-1.amazonaws.com/Modern_Interiors_v41.3.4/1_Interiors/16x16/Theme_Sorter_Singles/21_Clothing_Store_Singles/Clothing_Store_Singles_416.png")</f>
        <v/>
      </c>
    </row>
    <row r="404" ht="36.0" customHeight="1">
      <c r="A404" s="16" t="s">
        <v>5020</v>
      </c>
      <c r="B404" s="16" t="str">
        <f>IMAGE("https://lmztiles.s3.eu-west-1.amazonaws.com/Modern_Interiors_v41.3.4/1_Interiors/16x16/Theme_Sorter_Singles/21_Clothing_Store_Singles/Clothing_Store_Singles_417.png")</f>
        <v/>
      </c>
    </row>
    <row r="405" ht="36.0" customHeight="1">
      <c r="A405" s="16" t="s">
        <v>5021</v>
      </c>
      <c r="B405" s="16" t="str">
        <f>IMAGE("https://lmztiles.s3.eu-west-1.amazonaws.com/Modern_Interiors_v41.3.4/1_Interiors/16x16/Theme_Sorter_Singles/21_Clothing_Store_Singles/Clothing_Store_Singles_418.png")</f>
        <v/>
      </c>
    </row>
    <row r="406" ht="36.0" customHeight="1">
      <c r="A406" s="16" t="s">
        <v>5022</v>
      </c>
      <c r="B406" s="16" t="str">
        <f>IMAGE("https://lmztiles.s3.eu-west-1.amazonaws.com/Modern_Interiors_v41.3.4/1_Interiors/16x16/Theme_Sorter_Singles/21_Clothing_Store_Singles/Clothing_Store_Singles_419.png")</f>
        <v/>
      </c>
    </row>
    <row r="407" ht="36.0" customHeight="1">
      <c r="A407" s="16" t="s">
        <v>5023</v>
      </c>
      <c r="B407" s="16" t="str">
        <f>IMAGE("https://lmztiles.s3.eu-west-1.amazonaws.com/Modern_Interiors_v41.3.4/1_Interiors/16x16/Theme_Sorter_Singles/21_Clothing_Store_Singles/Clothing_Store_Singles_420.png")</f>
        <v/>
      </c>
    </row>
    <row r="408" ht="36.0" customHeight="1">
      <c r="A408" s="16" t="s">
        <v>5024</v>
      </c>
      <c r="B408" s="16" t="str">
        <f>IMAGE("https://lmztiles.s3.eu-west-1.amazonaws.com/Modern_Interiors_v41.3.4/1_Interiors/16x16/Theme_Sorter_Singles/21_Clothing_Store_Singles/Clothing_Store_Singles_421.png")</f>
        <v/>
      </c>
    </row>
    <row r="409" ht="36.0" customHeight="1">
      <c r="A409" s="16" t="s">
        <v>5025</v>
      </c>
      <c r="B409" s="16" t="str">
        <f>IMAGE("https://lmztiles.s3.eu-west-1.amazonaws.com/Modern_Interiors_v41.3.4/1_Interiors/16x16/Theme_Sorter_Singles/21_Clothing_Store_Singles/Clothing_Store_Singles_422.png")</f>
        <v/>
      </c>
    </row>
    <row r="410" ht="36.0" customHeight="1">
      <c r="A410" s="16" t="s">
        <v>5026</v>
      </c>
      <c r="B410" s="16" t="str">
        <f>IMAGE("https://lmztiles.s3.eu-west-1.amazonaws.com/Modern_Interiors_v41.3.4/1_Interiors/16x16/Theme_Sorter_Singles/21_Clothing_Store_Singles/Clothing_Store_Singles_423.png")</f>
        <v/>
      </c>
    </row>
    <row r="411" ht="36.0" customHeight="1">
      <c r="A411" s="16" t="s">
        <v>5027</v>
      </c>
      <c r="B411" s="16" t="str">
        <f>IMAGE("https://lmztiles.s3.eu-west-1.amazonaws.com/Modern_Interiors_v41.3.4/1_Interiors/16x16/Theme_Sorter_Singles/21_Clothing_Store_Singles/Clothing_Store_Singles_424.png")</f>
        <v/>
      </c>
    </row>
    <row r="412" ht="36.0" customHeight="1">
      <c r="A412" s="16" t="s">
        <v>5028</v>
      </c>
      <c r="B412" s="16" t="str">
        <f>IMAGE("https://lmztiles.s3.eu-west-1.amazonaws.com/Modern_Interiors_v41.3.4/1_Interiors/16x16/Theme_Sorter_Singles/21_Clothing_Store_Singles/Clothing_Store_Singles_425.png")</f>
        <v/>
      </c>
    </row>
    <row r="413" ht="36.0" customHeight="1">
      <c r="A413" s="16" t="s">
        <v>5029</v>
      </c>
      <c r="B413" s="16" t="str">
        <f>IMAGE("https://lmztiles.s3.eu-west-1.amazonaws.com/Modern_Interiors_v41.3.4/1_Interiors/16x16/Theme_Sorter_Singles/21_Clothing_Store_Singles/Clothing_Store_Singles_426.png")</f>
        <v/>
      </c>
    </row>
    <row r="414" ht="36.0" customHeight="1">
      <c r="A414" s="16" t="s">
        <v>5030</v>
      </c>
      <c r="B414" s="16" t="str">
        <f>IMAGE("https://lmztiles.s3.eu-west-1.amazonaws.com/Modern_Interiors_v41.3.4/1_Interiors/16x16/Theme_Sorter_Singles/21_Clothing_Store_Singles/Clothing_Store_Singles_427.png")</f>
        <v/>
      </c>
    </row>
    <row r="415" ht="36.0" customHeight="1">
      <c r="A415" s="16" t="s">
        <v>5031</v>
      </c>
      <c r="B415" s="16" t="str">
        <f>IMAGE("https://lmztiles.s3.eu-west-1.amazonaws.com/Modern_Interiors_v41.3.4/1_Interiors/16x16/Theme_Sorter_Singles/21_Clothing_Store_Singles/Clothing_Store_Singles_428.png")</f>
        <v/>
      </c>
    </row>
    <row r="416" ht="36.0" customHeight="1">
      <c r="A416" s="16" t="s">
        <v>5032</v>
      </c>
      <c r="B416" s="16" t="str">
        <f>IMAGE("https://lmztiles.s3.eu-west-1.amazonaws.com/Modern_Interiors_v41.3.4/1_Interiors/16x16/Theme_Sorter_Singles/21_Clothing_Store_Singles/Clothing_Store_Singles_429.png")</f>
        <v/>
      </c>
    </row>
    <row r="417" ht="36.0" customHeight="1">
      <c r="A417" s="16" t="s">
        <v>5033</v>
      </c>
      <c r="B417" s="16" t="str">
        <f>IMAGE("https://lmztiles.s3.eu-west-1.amazonaws.com/Modern_Interiors_v41.3.4/1_Interiors/16x16/Theme_Sorter_Singles/21_Clothing_Store_Singles/Clothing_Store_Singles_430.png")</f>
        <v/>
      </c>
    </row>
    <row r="418" ht="36.0" customHeight="1">
      <c r="A418" s="16" t="s">
        <v>5034</v>
      </c>
      <c r="B418" s="16" t="str">
        <f>IMAGE("https://lmztiles.s3.eu-west-1.amazonaws.com/Modern_Interiors_v41.3.4/1_Interiors/16x16/Theme_Sorter_Singles/21_Clothing_Store_Singles/Clothing_Store_Singles_431.png")</f>
        <v/>
      </c>
    </row>
    <row r="419" ht="36.0" customHeight="1">
      <c r="A419" s="16" t="s">
        <v>5035</v>
      </c>
      <c r="B419" s="16" t="str">
        <f>IMAGE("https://lmztiles.s3.eu-west-1.amazonaws.com/Modern_Interiors_v41.3.4/1_Interiors/16x16/Theme_Sorter_Singles/21_Clothing_Store_Singles/Clothing_Store_Singles_432.png")</f>
        <v/>
      </c>
    </row>
    <row r="420" ht="36.0" customHeight="1">
      <c r="A420" s="16" t="s">
        <v>5036</v>
      </c>
      <c r="B420" s="16" t="str">
        <f>IMAGE("https://lmztiles.s3.eu-west-1.amazonaws.com/Modern_Interiors_v41.3.4/1_Interiors/16x16/Theme_Sorter_Singles/21_Clothing_Store_Singles/Clothing_Store_Singles_433.png")</f>
        <v/>
      </c>
    </row>
    <row r="421" ht="36.0" customHeight="1">
      <c r="A421" s="16" t="s">
        <v>5037</v>
      </c>
      <c r="B421" s="16" t="str">
        <f>IMAGE("https://lmztiles.s3.eu-west-1.amazonaws.com/Modern_Interiors_v41.3.4/1_Interiors/16x16/Theme_Sorter_Singles/21_Clothing_Store_Singles/Clothing_Store_Singles_434.png")</f>
        <v/>
      </c>
    </row>
    <row r="422" ht="36.0" customHeight="1">
      <c r="A422" s="16" t="s">
        <v>5038</v>
      </c>
      <c r="B422" s="16" t="str">
        <f>IMAGE("https://lmztiles.s3.eu-west-1.amazonaws.com/Modern_Interiors_v41.3.4/1_Interiors/16x16/Theme_Sorter_Singles/21_Clothing_Store_Singles/Clothing_Store_Singles_435.png")</f>
        <v/>
      </c>
    </row>
    <row r="423" ht="36.0" customHeight="1">
      <c r="A423" s="16" t="s">
        <v>5039</v>
      </c>
      <c r="B423" s="16" t="str">
        <f>IMAGE("https://lmztiles.s3.eu-west-1.amazonaws.com/Modern_Interiors_v41.3.4/1_Interiors/16x16/Theme_Sorter_Singles/21_Clothing_Store_Singles/Clothing_Store_Singles_436.png")</f>
        <v/>
      </c>
    </row>
    <row r="424" ht="36.0" customHeight="1">
      <c r="A424" s="16" t="s">
        <v>5040</v>
      </c>
      <c r="B424" s="16" t="str">
        <f>IMAGE("https://lmztiles.s3.eu-west-1.amazonaws.com/Modern_Interiors_v41.3.4/1_Interiors/16x16/Theme_Sorter_Singles/21_Clothing_Store_Singles/Clothing_Store_Singles_437.png")</f>
        <v/>
      </c>
    </row>
    <row r="425" ht="36.0" customHeight="1">
      <c r="A425" s="16" t="s">
        <v>5041</v>
      </c>
      <c r="B425" s="16" t="str">
        <f>IMAGE("https://lmztiles.s3.eu-west-1.amazonaws.com/Modern_Interiors_v41.3.4/1_Interiors/16x16/Theme_Sorter_Singles/21_Clothing_Store_Singles/Clothing_Store_Singles_438.png")</f>
        <v/>
      </c>
    </row>
    <row r="426" ht="36.0" customHeight="1">
      <c r="A426" s="16" t="s">
        <v>5042</v>
      </c>
      <c r="B426" s="16" t="str">
        <f>IMAGE("https://lmztiles.s3.eu-west-1.amazonaws.com/Modern_Interiors_v41.3.4/1_Interiors/16x16/Theme_Sorter_Singles/21_Clothing_Store_Singles/Clothing_Store_Singles_439.png")</f>
        <v/>
      </c>
    </row>
    <row r="427" ht="36.0" customHeight="1">
      <c r="A427" s="16" t="s">
        <v>5043</v>
      </c>
      <c r="B427" s="16" t="str">
        <f>IMAGE("https://lmztiles.s3.eu-west-1.amazonaws.com/Modern_Interiors_v41.3.4/1_Interiors/16x16/Theme_Sorter_Singles/21_Clothing_Store_Singles/Clothing_Store_Singles_440.png")</f>
        <v/>
      </c>
    </row>
    <row r="428" ht="36.0" customHeight="1">
      <c r="A428" s="16" t="s">
        <v>5044</v>
      </c>
      <c r="B428" s="16" t="str">
        <f>IMAGE("https://lmztiles.s3.eu-west-1.amazonaws.com/Modern_Interiors_v41.3.4/1_Interiors/16x16/Theme_Sorter_Singles/21_Clothing_Store_Singles/Clothing_Store_Singles_441.png")</f>
        <v/>
      </c>
    </row>
    <row r="429" ht="36.0" customHeight="1">
      <c r="A429" s="16" t="s">
        <v>5045</v>
      </c>
      <c r="B429" s="16" t="str">
        <f>IMAGE("https://lmztiles.s3.eu-west-1.amazonaws.com/Modern_Interiors_v41.3.4/1_Interiors/16x16/Theme_Sorter_Singles/21_Clothing_Store_Singles/Clothing_Store_Singles_442.png")</f>
        <v/>
      </c>
    </row>
    <row r="430" ht="36.0" customHeight="1">
      <c r="A430" s="16" t="s">
        <v>5046</v>
      </c>
      <c r="B430" s="16" t="str">
        <f>IMAGE("https://lmztiles.s3.eu-west-1.amazonaws.com/Modern_Interiors_v41.3.4/1_Interiors/16x16/Theme_Sorter_Singles/21_Clothing_Store_Singles/Clothing_Store_Singles_443.png")</f>
        <v/>
      </c>
    </row>
    <row r="431" ht="36.0" customHeight="1">
      <c r="A431" s="16" t="s">
        <v>5047</v>
      </c>
      <c r="B431" s="16" t="str">
        <f>IMAGE("https://lmztiles.s3.eu-west-1.amazonaws.com/Modern_Interiors_v41.3.4/1_Interiors/16x16/Theme_Sorter_Singles/21_Clothing_Store_Singles/Clothing_Store_Singles_444.png")</f>
        <v/>
      </c>
    </row>
    <row r="432" ht="36.0" customHeight="1">
      <c r="A432" s="16" t="s">
        <v>5048</v>
      </c>
      <c r="B432" s="16" t="str">
        <f>IMAGE("https://lmztiles.s3.eu-west-1.amazonaws.com/Modern_Interiors_v41.3.4/1_Interiors/16x16/Theme_Sorter_Singles/21_Clothing_Store_Singles/Clothing_Store_Singles_445.png")</f>
        <v/>
      </c>
    </row>
    <row r="433" ht="36.0" customHeight="1">
      <c r="A433" s="16" t="s">
        <v>5049</v>
      </c>
      <c r="B433" s="16" t="str">
        <f>IMAGE("https://lmztiles.s3.eu-west-1.amazonaws.com/Modern_Interiors_v41.3.4/1_Interiors/16x16/Theme_Sorter_Singles/21_Clothing_Store_Singles/Clothing_Store_Singles_446.png")</f>
        <v/>
      </c>
    </row>
    <row r="434" ht="36.0" customHeight="1">
      <c r="A434" s="16" t="s">
        <v>5050</v>
      </c>
      <c r="B434" s="16" t="str">
        <f>IMAGE("https://lmztiles.s3.eu-west-1.amazonaws.com/Modern_Interiors_v41.3.4/1_Interiors/16x16/Theme_Sorter_Singles/21_Clothing_Store_Singles/Clothing_Store_Singles_447.png")</f>
        <v/>
      </c>
    </row>
    <row r="435" ht="36.0" customHeight="1">
      <c r="A435" s="16" t="s">
        <v>5051</v>
      </c>
      <c r="B435" s="16" t="str">
        <f>IMAGE("https://lmztiles.s3.eu-west-1.amazonaws.com/Modern_Interiors_v41.3.4/1_Interiors/16x16/Theme_Sorter_Singles/21_Clothing_Store_Singles/Clothing_Store_Singles_448.png")</f>
        <v/>
      </c>
    </row>
    <row r="436" ht="36.0" customHeight="1">
      <c r="A436" s="16" t="s">
        <v>5052</v>
      </c>
      <c r="B436" s="16" t="str">
        <f>IMAGE("https://lmztiles.s3.eu-west-1.amazonaws.com/Modern_Interiors_v41.3.4/1_Interiors/16x16/Theme_Sorter_Singles/21_Clothing_Store_Singles/Clothing_Store_Singles_449.png")</f>
        <v/>
      </c>
    </row>
    <row r="437" ht="36.0" customHeight="1">
      <c r="A437" s="16" t="s">
        <v>5053</v>
      </c>
      <c r="B437" s="16" t="str">
        <f>IMAGE("https://lmztiles.s3.eu-west-1.amazonaws.com/Modern_Interiors_v41.3.4/1_Interiors/16x16/Theme_Sorter_Singles/21_Clothing_Store_Singles/Clothing_Store_Singles_450.png")</f>
        <v/>
      </c>
    </row>
    <row r="438" ht="36.0" customHeight="1">
      <c r="A438" s="16" t="s">
        <v>5054</v>
      </c>
      <c r="B438" s="16" t="str">
        <f>IMAGE("https://lmztiles.s3.eu-west-1.amazonaws.com/Modern_Interiors_v41.3.4/1_Interiors/16x16/Theme_Sorter_Singles/21_Clothing_Store_Singles/Clothing_Store_Singles_451.png")</f>
        <v/>
      </c>
    </row>
    <row r="439" ht="36.0" customHeight="1">
      <c r="A439" s="16" t="s">
        <v>5055</v>
      </c>
      <c r="B439" s="16" t="str">
        <f>IMAGE("https://lmztiles.s3.eu-west-1.amazonaws.com/Modern_Interiors_v41.3.4/1_Interiors/16x16/Theme_Sorter_Singles/21_Clothing_Store_Singles/Clothing_Store_Singles_452.png")</f>
        <v/>
      </c>
    </row>
    <row r="440" ht="36.0" customHeight="1">
      <c r="A440" s="16" t="s">
        <v>5056</v>
      </c>
      <c r="B440" s="16" t="str">
        <f>IMAGE("https://lmztiles.s3.eu-west-1.amazonaws.com/Modern_Interiors_v41.3.4/1_Interiors/16x16/Theme_Sorter_Singles/21_Clothing_Store_Singles/Clothing_Store_Singles_453.png")</f>
        <v/>
      </c>
    </row>
    <row r="441" ht="36.0" customHeight="1">
      <c r="A441" s="16" t="s">
        <v>5057</v>
      </c>
      <c r="B441" s="16" t="str">
        <f>IMAGE("https://lmztiles.s3.eu-west-1.amazonaws.com/Modern_Interiors_v41.3.4/1_Interiors/16x16/Theme_Sorter_Singles/21_Clothing_Store_Singles/Clothing_Store_Singles_454.png")</f>
        <v/>
      </c>
    </row>
    <row r="442" ht="36.0" customHeight="1">
      <c r="A442" s="16" t="s">
        <v>5058</v>
      </c>
      <c r="B442" s="16" t="str">
        <f>IMAGE("https://lmztiles.s3.eu-west-1.amazonaws.com/Modern_Interiors_v41.3.4/1_Interiors/16x16/Theme_Sorter_Singles/21_Clothing_Store_Singles/Clothing_Store_Singles_455.png")</f>
        <v/>
      </c>
    </row>
    <row r="443" ht="36.0" customHeight="1">
      <c r="A443" s="16" t="s">
        <v>5059</v>
      </c>
      <c r="B443" s="16" t="str">
        <f>IMAGE("https://lmztiles.s3.eu-west-1.amazonaws.com/Modern_Interiors_v41.3.4/1_Interiors/16x16/Theme_Sorter_Singles/21_Clothing_Store_Singles/Clothing_Store_Singles_456.png")</f>
        <v/>
      </c>
    </row>
    <row r="444" ht="36.0" customHeight="1">
      <c r="A444" s="16" t="s">
        <v>5060</v>
      </c>
      <c r="B444" s="16" t="str">
        <f>IMAGE("https://lmztiles.s3.eu-west-1.amazonaws.com/Modern_Interiors_v41.3.4/1_Interiors/16x16/Theme_Sorter_Singles/21_Clothing_Store_Singles/Clothing_Store_Singles_457.png")</f>
        <v/>
      </c>
    </row>
    <row r="445" ht="36.0" customHeight="1">
      <c r="A445" s="16" t="s">
        <v>5061</v>
      </c>
      <c r="B445" s="16" t="str">
        <f>IMAGE("https://lmztiles.s3.eu-west-1.amazonaws.com/Modern_Interiors_v41.3.4/1_Interiors/16x16/Theme_Sorter_Singles/21_Clothing_Store_Singles/Clothing_Store_Singles_458.png")</f>
        <v/>
      </c>
    </row>
    <row r="446" ht="36.0" customHeight="1">
      <c r="A446" s="16" t="s">
        <v>5062</v>
      </c>
      <c r="B446" s="16" t="str">
        <f>IMAGE("https://lmztiles.s3.eu-west-1.amazonaws.com/Modern_Interiors_v41.3.4/1_Interiors/16x16/Theme_Sorter_Singles/21_Clothing_Store_Singles/Clothing_Store_Singles_459.png")</f>
        <v/>
      </c>
    </row>
    <row r="447" ht="36.0" customHeight="1">
      <c r="A447" s="16" t="s">
        <v>5063</v>
      </c>
      <c r="B447" s="16" t="str">
        <f>IMAGE("https://lmztiles.s3.eu-west-1.amazonaws.com/Modern_Interiors_v41.3.4/1_Interiors/16x16/Theme_Sorter_Singles/21_Clothing_Store_Singles/Clothing_Store_Singles_460.png")</f>
        <v/>
      </c>
    </row>
    <row r="448" ht="36.0" customHeight="1">
      <c r="A448" s="16" t="s">
        <v>5064</v>
      </c>
      <c r="B448" s="16" t="str">
        <f>IMAGE("https://lmztiles.s3.eu-west-1.amazonaws.com/Modern_Interiors_v41.3.4/1_Interiors/16x16/Theme_Sorter_Singles/21_Clothing_Store_Singles/Clothing_Store_Singles_461.png")</f>
        <v/>
      </c>
    </row>
    <row r="449" ht="36.0" customHeight="1">
      <c r="A449" s="16" t="s">
        <v>5065</v>
      </c>
      <c r="B449" s="16" t="str">
        <f>IMAGE("https://lmztiles.s3.eu-west-1.amazonaws.com/Modern_Interiors_v41.3.4/1_Interiors/16x16/Theme_Sorter_Singles/21_Clothing_Store_Singles/Clothing_Store_Singles_462.png")</f>
        <v/>
      </c>
    </row>
    <row r="450" ht="36.0" customHeight="1">
      <c r="A450" s="16" t="s">
        <v>5066</v>
      </c>
      <c r="B450" s="16" t="str">
        <f>IMAGE("https://lmztiles.s3.eu-west-1.amazonaws.com/Modern_Interiors_v41.3.4/1_Interiors/16x16/Theme_Sorter_Singles/21_Clothing_Store_Singles/Clothing_Store_Singles_463.png")</f>
        <v/>
      </c>
    </row>
    <row r="451" ht="36.0" customHeight="1">
      <c r="A451" s="16" t="s">
        <v>5067</v>
      </c>
      <c r="B451" s="16" t="str">
        <f>IMAGE("https://lmztiles.s3.eu-west-1.amazonaws.com/Modern_Interiors_v41.3.4/1_Interiors/16x16/Theme_Sorter_Singles/21_Clothing_Store_Singles/Clothing_Store_Singles_464.png")</f>
        <v/>
      </c>
    </row>
    <row r="452" ht="36.0" customHeight="1">
      <c r="A452" s="16" t="s">
        <v>5068</v>
      </c>
      <c r="B452" s="16" t="str">
        <f>IMAGE("https://lmztiles.s3.eu-west-1.amazonaws.com/Modern_Interiors_v41.3.4/1_Interiors/16x16/Theme_Sorter_Singles/21_Clothing_Store_Singles/Clothing_Store_Singles_465.png")</f>
        <v/>
      </c>
    </row>
    <row r="453" ht="36.0" customHeight="1">
      <c r="A453" s="16" t="s">
        <v>5069</v>
      </c>
      <c r="B453" s="16" t="str">
        <f>IMAGE("https://lmztiles.s3.eu-west-1.amazonaws.com/Modern_Interiors_v41.3.4/1_Interiors/16x16/Theme_Sorter_Singles/21_Clothing_Store_Singles/Clothing_Store_Singles_466.png")</f>
        <v/>
      </c>
    </row>
    <row r="454" ht="36.0" customHeight="1">
      <c r="A454" s="16" t="s">
        <v>5070</v>
      </c>
      <c r="B454" s="16" t="str">
        <f>IMAGE("https://lmztiles.s3.eu-west-1.amazonaws.com/Modern_Interiors_v41.3.4/1_Interiors/16x16/Theme_Sorter_Singles/21_Clothing_Store_Singles/Clothing_Store_Singles_467.png")</f>
        <v/>
      </c>
    </row>
    <row r="455" ht="36.0" customHeight="1">
      <c r="A455" s="16" t="s">
        <v>5071</v>
      </c>
      <c r="B455" s="16" t="str">
        <f>IMAGE("https://lmztiles.s3.eu-west-1.amazonaws.com/Modern_Interiors_v41.3.4/1_Interiors/16x16/Theme_Sorter_Singles/21_Clothing_Store_Singles/Clothing_Store_Singles_468.png")</f>
        <v/>
      </c>
    </row>
    <row r="456" ht="36.0" customHeight="1">
      <c r="A456" s="16" t="s">
        <v>5072</v>
      </c>
      <c r="B456" s="16" t="str">
        <f>IMAGE("https://lmztiles.s3.eu-west-1.amazonaws.com/Modern_Interiors_v41.3.4/1_Interiors/16x16/Theme_Sorter_Singles/21_Clothing_Store_Singles/Clothing_Store_Singles_469.png")</f>
        <v/>
      </c>
    </row>
    <row r="457" ht="36.0" customHeight="1">
      <c r="A457" s="16" t="s">
        <v>5073</v>
      </c>
      <c r="B457" s="16" t="str">
        <f>IMAGE("https://lmztiles.s3.eu-west-1.amazonaws.com/Modern_Interiors_v41.3.4/1_Interiors/16x16/Theme_Sorter_Singles/21_Clothing_Store_Singles/Clothing_Store_Singles_470.png")</f>
        <v/>
      </c>
    </row>
    <row r="458" ht="36.0" customHeight="1">
      <c r="A458" s="16" t="s">
        <v>5074</v>
      </c>
      <c r="B458" s="16" t="str">
        <f>IMAGE("https://lmztiles.s3.eu-west-1.amazonaws.com/Modern_Interiors_v41.3.4/1_Interiors/16x16/Theme_Sorter_Singles/21_Clothing_Store_Singles/Clothing_Store_Singles_471.png")</f>
        <v/>
      </c>
    </row>
    <row r="459" ht="36.0" customHeight="1">
      <c r="A459" s="16" t="s">
        <v>5075</v>
      </c>
      <c r="B459" s="16" t="str">
        <f>IMAGE("https://lmztiles.s3.eu-west-1.amazonaws.com/Modern_Interiors_v41.3.4/1_Interiors/16x16/Theme_Sorter_Singles/21_Clothing_Store_Singles/Clothing_Store_Singles_472.png")</f>
        <v/>
      </c>
    </row>
    <row r="460" ht="36.0" customHeight="1">
      <c r="A460" s="16" t="s">
        <v>5076</v>
      </c>
      <c r="B460" s="16" t="str">
        <f>IMAGE("https://lmztiles.s3.eu-west-1.amazonaws.com/Modern_Interiors_v41.3.4/1_Interiors/16x16/Theme_Sorter_Singles/21_Clothing_Store_Singles/Clothing_Store_Singles_473.png")</f>
        <v/>
      </c>
    </row>
    <row r="461" ht="36.0" customHeight="1">
      <c r="A461" s="16" t="s">
        <v>5077</v>
      </c>
      <c r="B461" s="16" t="str">
        <f>IMAGE("https://lmztiles.s3.eu-west-1.amazonaws.com/Modern_Interiors_v41.3.4/1_Interiors/16x16/Theme_Sorter_Singles/21_Clothing_Store_Singles/Clothing_Store_Singles_474.png")</f>
        <v/>
      </c>
    </row>
    <row r="462" ht="36.0" customHeight="1">
      <c r="A462" s="16" t="s">
        <v>5078</v>
      </c>
      <c r="B462" s="16" t="str">
        <f>IMAGE("https://lmztiles.s3.eu-west-1.amazonaws.com/Modern_Interiors_v41.3.4/1_Interiors/16x16/Theme_Sorter_Singles/21_Clothing_Store_Singles/Clothing_Store_Singles_475.png")</f>
        <v/>
      </c>
    </row>
    <row r="463" ht="36.0" customHeight="1">
      <c r="A463" s="16" t="s">
        <v>5079</v>
      </c>
      <c r="B463" s="16" t="str">
        <f>IMAGE("https://lmztiles.s3.eu-west-1.amazonaws.com/Modern_Interiors_v41.3.4/1_Interiors/16x16/Theme_Sorter_Singles/21_Clothing_Store_Singles/Clothing_Store_Singles_476.png")</f>
        <v/>
      </c>
    </row>
    <row r="464" ht="36.0" customHeight="1">
      <c r="A464" s="16" t="s">
        <v>5080</v>
      </c>
      <c r="B464" s="16" t="str">
        <f>IMAGE("https://lmztiles.s3.eu-west-1.amazonaws.com/Modern_Interiors_v41.3.4/1_Interiors/16x16/Theme_Sorter_Singles/21_Clothing_Store_Singles/Clothing_Store_Singles_477.png")</f>
        <v/>
      </c>
    </row>
    <row r="465" ht="36.0" customHeight="1">
      <c r="A465" s="16" t="s">
        <v>5081</v>
      </c>
      <c r="B465" s="16" t="str">
        <f>IMAGE("https://lmztiles.s3.eu-west-1.amazonaws.com/Modern_Interiors_v41.3.4/1_Interiors/16x16/Theme_Sorter_Singles/21_Clothing_Store_Singles/Clothing_Store_Singles_478.png")</f>
        <v/>
      </c>
    </row>
    <row r="466" ht="36.0" customHeight="1">
      <c r="A466" s="16" t="s">
        <v>5082</v>
      </c>
      <c r="B466" s="16" t="str">
        <f>IMAGE("https://lmztiles.s3.eu-west-1.amazonaws.com/Modern_Interiors_v41.3.4/1_Interiors/16x16/Theme_Sorter_Singles/21_Clothing_Store_Singles/Clothing_Store_Singles_479.png")</f>
        <v/>
      </c>
    </row>
    <row r="467" ht="36.0" customHeight="1">
      <c r="A467" s="16" t="s">
        <v>5083</v>
      </c>
      <c r="B467" s="16" t="str">
        <f>IMAGE("https://lmztiles.s3.eu-west-1.amazonaws.com/Modern_Interiors_v41.3.4/1_Interiors/16x16/Theme_Sorter_Singles/21_Clothing_Store_Singles/Clothing_Store_Singles_480.png")</f>
        <v/>
      </c>
    </row>
    <row r="468" ht="36.0" customHeight="1">
      <c r="A468" s="16" t="s">
        <v>5084</v>
      </c>
      <c r="B468" s="16" t="str">
        <f>IMAGE("https://lmztiles.s3.eu-west-1.amazonaws.com/Modern_Interiors_v41.3.4/1_Interiors/16x16/Theme_Sorter_Singles/21_Clothing_Store_Singles/Clothing_Store_Singles_481.png")</f>
        <v/>
      </c>
    </row>
    <row r="469" ht="36.0" customHeight="1">
      <c r="A469" s="16" t="s">
        <v>5085</v>
      </c>
      <c r="B469" s="16" t="str">
        <f>IMAGE("https://lmztiles.s3.eu-west-1.amazonaws.com/Modern_Interiors_v41.3.4/1_Interiors/16x16/Theme_Sorter_Singles/21_Clothing_Store_Singles/Clothing_Store_Singles_482.png")</f>
        <v/>
      </c>
    </row>
    <row r="470" ht="36.0" customHeight="1">
      <c r="A470" s="16" t="s">
        <v>5086</v>
      </c>
      <c r="B470" s="16" t="str">
        <f>IMAGE("https://lmztiles.s3.eu-west-1.amazonaws.com/Modern_Interiors_v41.3.4/1_Interiors/16x16/Theme_Sorter_Singles/21_Clothing_Store_Singles/Clothing_Store_Singles_483.png")</f>
        <v/>
      </c>
    </row>
    <row r="471" ht="36.0" customHeight="1">
      <c r="A471" s="16" t="s">
        <v>5087</v>
      </c>
      <c r="B471" s="16" t="str">
        <f>IMAGE("https://lmztiles.s3.eu-west-1.amazonaws.com/Modern_Interiors_v41.3.4/1_Interiors/16x16/Theme_Sorter_Singles/21_Clothing_Store_Singles/Clothing_Store_Singles_484.png")</f>
        <v/>
      </c>
    </row>
    <row r="472" ht="36.0" customHeight="1">
      <c r="A472" s="16" t="s">
        <v>5088</v>
      </c>
      <c r="B472" s="16" t="str">
        <f>IMAGE("https://lmztiles.s3.eu-west-1.amazonaws.com/Modern_Interiors_v41.3.4/1_Interiors/16x16/Theme_Sorter_Singles/21_Clothing_Store_Singles/Clothing_Store_Singles_485.png")</f>
        <v/>
      </c>
    </row>
    <row r="473" ht="36.0" customHeight="1">
      <c r="A473" s="16" t="s">
        <v>5089</v>
      </c>
      <c r="B473" s="16" t="str">
        <f>IMAGE("https://lmztiles.s3.eu-west-1.amazonaws.com/Modern_Interiors_v41.3.4/1_Interiors/16x16/Theme_Sorter_Singles/21_Clothing_Store_Singles/Clothing_Store_Singles_486.png")</f>
        <v/>
      </c>
    </row>
    <row r="474" ht="36.0" customHeight="1">
      <c r="A474" s="16" t="s">
        <v>5090</v>
      </c>
      <c r="B474" s="16" t="str">
        <f>IMAGE("https://lmztiles.s3.eu-west-1.amazonaws.com/Modern_Interiors_v41.3.4/1_Interiors/16x16/Theme_Sorter_Singles/21_Clothing_Store_Singles/Clothing_Store_Singles_487.png")</f>
        <v/>
      </c>
    </row>
    <row r="475" ht="36.0" customHeight="1">
      <c r="A475" s="16" t="s">
        <v>5091</v>
      </c>
      <c r="B475" s="16" t="str">
        <f>IMAGE("https://lmztiles.s3.eu-west-1.amazonaws.com/Modern_Interiors_v41.3.4/1_Interiors/16x16/Theme_Sorter_Singles/21_Clothing_Store_Singles/Clothing_Store_Singles_488.png")</f>
        <v/>
      </c>
    </row>
    <row r="476" ht="36.0" customHeight="1">
      <c r="A476" s="16" t="s">
        <v>5092</v>
      </c>
      <c r="B476" s="16" t="str">
        <f>IMAGE("https://lmztiles.s3.eu-west-1.amazonaws.com/Modern_Interiors_v41.3.4/1_Interiors/16x16/Theme_Sorter_Singles/21_Clothing_Store_Singles/Clothing_Store_Singles_489.png")</f>
        <v/>
      </c>
    </row>
    <row r="477" ht="36.0" customHeight="1">
      <c r="A477" s="16" t="s">
        <v>5093</v>
      </c>
      <c r="B477" s="16" t="str">
        <f>IMAGE("https://lmztiles.s3.eu-west-1.amazonaws.com/Modern_Interiors_v41.3.4/1_Interiors/16x16/Theme_Sorter_Singles/21_Clothing_Store_Singles/Clothing_Store_Singles_490.png")</f>
        <v/>
      </c>
    </row>
    <row r="478" ht="36.0" customHeight="1">
      <c r="A478" s="16" t="s">
        <v>5094</v>
      </c>
      <c r="B478" s="16" t="str">
        <f>IMAGE("https://lmztiles.s3.eu-west-1.amazonaws.com/Modern_Interiors_v41.3.4/1_Interiors/16x16/Theme_Sorter_Singles/21_Clothing_Store_Singles/Clothing_Store_Singles_491.png")</f>
        <v/>
      </c>
    </row>
    <row r="479" ht="36.0" customHeight="1">
      <c r="A479" s="16" t="s">
        <v>5095</v>
      </c>
      <c r="B479" s="16" t="str">
        <f>IMAGE("https://lmztiles.s3.eu-west-1.amazonaws.com/Modern_Interiors_v41.3.4/1_Interiors/16x16/Theme_Sorter_Singles/21_Clothing_Store_Singles/Clothing_Store_Singles_492.png")</f>
        <v/>
      </c>
    </row>
    <row r="480" ht="36.0" customHeight="1">
      <c r="A480" s="16" t="s">
        <v>5096</v>
      </c>
      <c r="B480" s="16" t="str">
        <f>IMAGE("https://lmztiles.s3.eu-west-1.amazonaws.com/Modern_Interiors_v41.3.4/1_Interiors/16x16/Theme_Sorter_Singles/21_Clothing_Store_Singles/Clothing_Store_Singles_493.png")</f>
        <v/>
      </c>
    </row>
    <row r="481" ht="36.0" customHeight="1">
      <c r="A481" s="16" t="s">
        <v>5097</v>
      </c>
      <c r="B481" s="16" t="str">
        <f>IMAGE("https://lmztiles.s3.eu-west-1.amazonaws.com/Modern_Interiors_v41.3.4/1_Interiors/16x16/Theme_Sorter_Singles/21_Clothing_Store_Singles/Clothing_Store_Singles_494.png")</f>
        <v/>
      </c>
    </row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2.71"/>
    <col customWidth="1" min="3" max="3" width="71.29"/>
  </cols>
  <sheetData>
    <row r="1" ht="42.0" customHeight="1">
      <c r="A1" s="16" t="s">
        <v>5098</v>
      </c>
      <c r="B1" s="16" t="str">
        <f>IMAGE("https://lmztiles.s3.eu-west-1.amazonaws.com/Modern_Interiors_v41.3.4/1_Interiors/16x16/Theme_Sorter_Singles/22_Museum_Singles/Museum_Singles_1.png")</f>
        <v/>
      </c>
    </row>
    <row r="2" ht="42.0" customHeight="1">
      <c r="A2" s="16" t="s">
        <v>5099</v>
      </c>
      <c r="B2" s="16" t="str">
        <f>IMAGE("https://lmztiles.s3.eu-west-1.amazonaws.com/Modern_Interiors_v41.3.4/1_Interiors/16x16/Theme_Sorter_Singles/22_Museum_Singles/Museum_Singles_2.png")</f>
        <v/>
      </c>
    </row>
    <row r="3" ht="42.0" customHeight="1">
      <c r="A3" s="16" t="s">
        <v>5100</v>
      </c>
      <c r="B3" s="16" t="str">
        <f>IMAGE("https://lmztiles.s3.eu-west-1.amazonaws.com/Modern_Interiors_v41.3.4/1_Interiors/16x16/Theme_Sorter_Singles/22_Museum_Singles/Museum_Singles_3.png")</f>
        <v/>
      </c>
    </row>
    <row r="4" ht="42.0" customHeight="1">
      <c r="A4" s="16" t="s">
        <v>5101</v>
      </c>
      <c r="B4" s="16" t="str">
        <f>IMAGE("https://lmztiles.s3.eu-west-1.amazonaws.com/Modern_Interiors_v41.3.4/1_Interiors/16x16/Theme_Sorter_Singles/22_Museum_Singles/Museum_Singles_4.png")</f>
        <v/>
      </c>
    </row>
    <row r="5" ht="42.0" customHeight="1">
      <c r="A5" s="16" t="s">
        <v>5102</v>
      </c>
      <c r="B5" s="16" t="str">
        <f>IMAGE("https://lmztiles.s3.eu-west-1.amazonaws.com/Modern_Interiors_v41.3.4/1_Interiors/16x16/Theme_Sorter_Singles/22_Museum_Singles/Museum_Singles_5.png")</f>
        <v/>
      </c>
    </row>
    <row r="6" ht="42.0" customHeight="1">
      <c r="A6" s="16" t="s">
        <v>5103</v>
      </c>
      <c r="B6" s="16" t="str">
        <f>IMAGE("https://lmztiles.s3.eu-west-1.amazonaws.com/Modern_Interiors_v41.3.4/1_Interiors/16x16/Theme_Sorter_Singles/22_Museum_Singles/Museum_Singles_6.png")</f>
        <v/>
      </c>
    </row>
    <row r="7" ht="42.0" customHeight="1">
      <c r="A7" s="16" t="s">
        <v>5104</v>
      </c>
      <c r="B7" s="16" t="str">
        <f>IMAGE("https://lmztiles.s3.eu-west-1.amazonaws.com/Modern_Interiors_v41.3.4/1_Interiors/16x16/Theme_Sorter_Singles/22_Museum_Singles/Museum_Singles_7.png")</f>
        <v/>
      </c>
    </row>
    <row r="8" ht="42.0" customHeight="1">
      <c r="A8" s="16" t="s">
        <v>5105</v>
      </c>
      <c r="B8" s="16" t="str">
        <f>IMAGE("https://lmztiles.s3.eu-west-1.amazonaws.com/Modern_Interiors_v41.3.4/1_Interiors/16x16/Theme_Sorter_Singles/22_Museum_Singles/Museum_Singles_8.png")</f>
        <v/>
      </c>
    </row>
    <row r="9" ht="42.0" customHeight="1">
      <c r="A9" s="16" t="s">
        <v>5106</v>
      </c>
      <c r="B9" s="16" t="str">
        <f>IMAGE("https://lmztiles.s3.eu-west-1.amazonaws.com/Modern_Interiors_v41.3.4/1_Interiors/16x16/Theme_Sorter_Singles/22_Museum_Singles/Museum_Singles_9.png")</f>
        <v/>
      </c>
    </row>
    <row r="10" ht="42.0" customHeight="1">
      <c r="A10" s="16" t="s">
        <v>5107</v>
      </c>
      <c r="B10" s="16" t="str">
        <f>IMAGE("https://lmztiles.s3.eu-west-1.amazonaws.com/Modern_Interiors_v41.3.4/1_Interiors/16x16/Theme_Sorter_Singles/22_Museum_Singles/Museum_Singles_10.png")</f>
        <v/>
      </c>
    </row>
    <row r="11" ht="42.0" customHeight="1">
      <c r="A11" s="16" t="s">
        <v>5108</v>
      </c>
      <c r="B11" s="16" t="str">
        <f>IMAGE("https://lmztiles.s3.eu-west-1.amazonaws.com/Modern_Interiors_v41.3.4/1_Interiors/16x16/Theme_Sorter_Singles/22_Museum_Singles/Museum_Singles_11.png")</f>
        <v/>
      </c>
    </row>
    <row r="12" ht="42.0" customHeight="1">
      <c r="A12" s="16" t="s">
        <v>5109</v>
      </c>
      <c r="B12" s="16" t="str">
        <f>IMAGE("https://lmztiles.s3.eu-west-1.amazonaws.com/Modern_Interiors_v41.3.4/1_Interiors/16x16/Theme_Sorter_Singles/22_Museum_Singles/Museum_Singles_12.png")</f>
        <v/>
      </c>
    </row>
    <row r="13" ht="42.0" customHeight="1">
      <c r="A13" s="16" t="s">
        <v>5110</v>
      </c>
      <c r="B13" s="16" t="str">
        <f>IMAGE("https://lmztiles.s3.eu-west-1.amazonaws.com/Modern_Interiors_v41.3.4/1_Interiors/16x16/Theme_Sorter_Singles/22_Museum_Singles/Museum_Singles_13.png")</f>
        <v/>
      </c>
    </row>
    <row r="14" ht="42.0" customHeight="1">
      <c r="A14" s="16" t="s">
        <v>5111</v>
      </c>
      <c r="B14" s="16" t="str">
        <f>IMAGE("https://lmztiles.s3.eu-west-1.amazonaws.com/Modern_Interiors_v41.3.4/1_Interiors/16x16/Theme_Sorter_Singles/22_Museum_Singles/Museum_Singles_15.png")</f>
        <v/>
      </c>
    </row>
    <row r="15" ht="42.0" customHeight="1">
      <c r="A15" s="16" t="s">
        <v>5112</v>
      </c>
      <c r="B15" s="16" t="str">
        <f>IMAGE("https://lmztiles.s3.eu-west-1.amazonaws.com/Modern_Interiors_v41.3.4/1_Interiors/16x16/Theme_Sorter_Singles/22_Museum_Singles/Museum_Singles_16.png")</f>
        <v/>
      </c>
    </row>
    <row r="16" ht="42.0" customHeight="1">
      <c r="A16" s="16" t="s">
        <v>5113</v>
      </c>
      <c r="B16" s="16" t="str">
        <f>IMAGE("https://lmztiles.s3.eu-west-1.amazonaws.com/Modern_Interiors_v41.3.4/1_Interiors/16x16/Theme_Sorter_Singles/22_Museum_Singles/Museum_Singles_17.png")</f>
        <v/>
      </c>
    </row>
    <row r="17" ht="42.0" customHeight="1">
      <c r="A17" s="16" t="s">
        <v>5114</v>
      </c>
      <c r="B17" s="16" t="str">
        <f>IMAGE("https://lmztiles.s3.eu-west-1.amazonaws.com/Modern_Interiors_v41.3.4/1_Interiors/16x16/Theme_Sorter_Singles/22_Museum_Singles/Museum_Singles_18.png")</f>
        <v/>
      </c>
    </row>
    <row r="18" ht="42.0" customHeight="1">
      <c r="A18" s="16" t="s">
        <v>5115</v>
      </c>
      <c r="B18" s="16" t="str">
        <f>IMAGE("https://lmztiles.s3.eu-west-1.amazonaws.com/Modern_Interiors_v41.3.4/1_Interiors/16x16/Theme_Sorter_Singles/22_Museum_Singles/Museum_Singles_19.png")</f>
        <v/>
      </c>
    </row>
    <row r="19" ht="42.0" customHeight="1">
      <c r="A19" s="16" t="s">
        <v>5116</v>
      </c>
      <c r="B19" s="16" t="str">
        <f>IMAGE("https://lmztiles.s3.eu-west-1.amazonaws.com/Modern_Interiors_v41.3.4/1_Interiors/16x16/Theme_Sorter_Singles/22_Museum_Singles/Museum_Singles_20.png")</f>
        <v/>
      </c>
    </row>
    <row r="20" ht="42.0" customHeight="1">
      <c r="A20" s="16" t="s">
        <v>5117</v>
      </c>
      <c r="B20" s="16" t="str">
        <f>IMAGE("https://lmztiles.s3.eu-west-1.amazonaws.com/Modern_Interiors_v41.3.4/1_Interiors/16x16/Theme_Sorter_Singles/22_Museum_Singles/Museum_Singles_21.png")</f>
        <v/>
      </c>
    </row>
    <row r="21" ht="42.0" customHeight="1">
      <c r="A21" s="16" t="s">
        <v>5118</v>
      </c>
      <c r="B21" s="16" t="str">
        <f>IMAGE("https://lmztiles.s3.eu-west-1.amazonaws.com/Modern_Interiors_v41.3.4/1_Interiors/16x16/Theme_Sorter_Singles/22_Museum_Singles/Museum_Singles_22.png")</f>
        <v/>
      </c>
    </row>
    <row r="22" ht="42.0" customHeight="1">
      <c r="A22" s="16" t="s">
        <v>5119</v>
      </c>
      <c r="B22" s="16" t="str">
        <f>IMAGE("https://lmztiles.s3.eu-west-1.amazonaws.com/Modern_Interiors_v41.3.4/1_Interiors/16x16/Theme_Sorter_Singles/22_Museum_Singles/Museum_Singles_23.png")</f>
        <v/>
      </c>
    </row>
    <row r="23" ht="42.0" customHeight="1">
      <c r="A23" s="16" t="s">
        <v>5120</v>
      </c>
      <c r="B23" s="16" t="str">
        <f>IMAGE("https://lmztiles.s3.eu-west-1.amazonaws.com/Modern_Interiors_v41.3.4/1_Interiors/16x16/Theme_Sorter_Singles/22_Museum_Singles/Museum_Singles_24.png")</f>
        <v/>
      </c>
    </row>
    <row r="24" ht="42.0" customHeight="1">
      <c r="A24" s="16" t="s">
        <v>5121</v>
      </c>
      <c r="B24" s="16" t="str">
        <f>IMAGE("https://lmztiles.s3.eu-west-1.amazonaws.com/Modern_Interiors_v41.3.4/1_Interiors/16x16/Theme_Sorter_Singles/22_Museum_Singles/Museum_Singles_25.png")</f>
        <v/>
      </c>
    </row>
    <row r="25" ht="42.0" customHeight="1">
      <c r="A25" s="16" t="s">
        <v>5122</v>
      </c>
      <c r="B25" s="16" t="str">
        <f>IMAGE("https://lmztiles.s3.eu-west-1.amazonaws.com/Modern_Interiors_v41.3.4/1_Interiors/16x16/Theme_Sorter_Singles/22_Museum_Singles/Museum_Singles_26.png")</f>
        <v/>
      </c>
    </row>
    <row r="26" ht="42.0" customHeight="1">
      <c r="A26" s="16" t="s">
        <v>5123</v>
      </c>
      <c r="B26" s="16" t="str">
        <f>IMAGE("https://lmztiles.s3.eu-west-1.amazonaws.com/Modern_Interiors_v41.3.4/1_Interiors/16x16/Theme_Sorter_Singles/22_Museum_Singles/Museum_Singles_27.png")</f>
        <v/>
      </c>
    </row>
    <row r="27" ht="42.0" customHeight="1">
      <c r="A27" s="16" t="s">
        <v>5124</v>
      </c>
      <c r="B27" s="16" t="str">
        <f>IMAGE("https://lmztiles.s3.eu-west-1.amazonaws.com/Modern_Interiors_v41.3.4/1_Interiors/16x16/Theme_Sorter_Singles/22_Museum_Singles/Museum_Singles_28.png")</f>
        <v/>
      </c>
    </row>
    <row r="28" ht="42.0" customHeight="1">
      <c r="A28" s="16" t="s">
        <v>5125</v>
      </c>
      <c r="B28" s="16" t="str">
        <f>IMAGE("https://lmztiles.s3.eu-west-1.amazonaws.com/Modern_Interiors_v41.3.4/1_Interiors/16x16/Theme_Sorter_Singles/22_Museum_Singles/Museum_Singles_29.png")</f>
        <v/>
      </c>
    </row>
    <row r="29" ht="42.0" customHeight="1">
      <c r="A29" s="16" t="s">
        <v>5126</v>
      </c>
      <c r="B29" s="16" t="str">
        <f>IMAGE("https://lmztiles.s3.eu-west-1.amazonaws.com/Modern_Interiors_v41.3.4/1_Interiors/16x16/Theme_Sorter_Singles/22_Museum_Singles/Museum_Singles_30.png")</f>
        <v/>
      </c>
    </row>
    <row r="30" ht="42.0" customHeight="1">
      <c r="A30" s="16" t="s">
        <v>5127</v>
      </c>
      <c r="B30" s="16" t="str">
        <f>IMAGE("https://lmztiles.s3.eu-west-1.amazonaws.com/Modern_Interiors_v41.3.4/1_Interiors/16x16/Theme_Sorter_Singles/22_Museum_Singles/Museum_Singles_31.png")</f>
        <v/>
      </c>
    </row>
    <row r="31" ht="42.0" customHeight="1">
      <c r="A31" s="16" t="s">
        <v>5128</v>
      </c>
      <c r="B31" s="16" t="str">
        <f>IMAGE("https://lmztiles.s3.eu-west-1.amazonaws.com/Modern_Interiors_v41.3.4/1_Interiors/16x16/Theme_Sorter_Singles/22_Museum_Singles/Museum_Singles_32.png")</f>
        <v/>
      </c>
    </row>
    <row r="32" ht="42.0" customHeight="1">
      <c r="A32" s="16" t="s">
        <v>5129</v>
      </c>
      <c r="B32" s="16" t="str">
        <f>IMAGE("https://lmztiles.s3.eu-west-1.amazonaws.com/Modern_Interiors_v41.3.4/1_Interiors/16x16/Theme_Sorter_Singles/22_Museum_Singles/Museum_Singles_33.png")</f>
        <v/>
      </c>
    </row>
    <row r="33" ht="42.0" customHeight="1">
      <c r="A33" s="16" t="s">
        <v>5130</v>
      </c>
      <c r="B33" s="16" t="str">
        <f>IMAGE("https://lmztiles.s3.eu-west-1.amazonaws.com/Modern_Interiors_v41.3.4/1_Interiors/16x16/Theme_Sorter_Singles/22_Museum_Singles/Museum_Singles_34.png")</f>
        <v/>
      </c>
    </row>
    <row r="34" ht="42.0" customHeight="1">
      <c r="A34" s="16" t="s">
        <v>5131</v>
      </c>
      <c r="B34" s="16" t="str">
        <f>IMAGE("https://lmztiles.s3.eu-west-1.amazonaws.com/Modern_Interiors_v41.3.4/1_Interiors/16x16/Theme_Sorter_Singles/22_Museum_Singles/Museum_Singles_35.png")</f>
        <v/>
      </c>
    </row>
    <row r="35" ht="42.0" customHeight="1">
      <c r="A35" s="16" t="s">
        <v>5132</v>
      </c>
      <c r="B35" s="16" t="str">
        <f>IMAGE("https://lmztiles.s3.eu-west-1.amazonaws.com/Modern_Interiors_v41.3.4/1_Interiors/16x16/Theme_Sorter_Singles/22_Museum_Singles/Museum_Singles_36.png")</f>
        <v/>
      </c>
    </row>
    <row r="36" ht="42.0" customHeight="1">
      <c r="A36" s="16" t="s">
        <v>5133</v>
      </c>
      <c r="B36" s="16" t="str">
        <f>IMAGE("https://lmztiles.s3.eu-west-1.amazonaws.com/Modern_Interiors_v41.3.4/1_Interiors/16x16/Theme_Sorter_Singles/22_Museum_Singles/Museum_Singles_37.png")</f>
        <v/>
      </c>
    </row>
    <row r="37" ht="42.0" customHeight="1">
      <c r="A37" s="16" t="s">
        <v>5134</v>
      </c>
      <c r="B37" s="16" t="str">
        <f>IMAGE("https://lmztiles.s3.eu-west-1.amazonaws.com/Modern_Interiors_v41.3.4/1_Interiors/16x16/Theme_Sorter_Singles/22_Museum_Singles/Museum_Singles_38.png")</f>
        <v/>
      </c>
    </row>
    <row r="38" ht="42.0" customHeight="1">
      <c r="A38" s="16" t="s">
        <v>5135</v>
      </c>
      <c r="B38" s="16" t="str">
        <f>IMAGE("https://lmztiles.s3.eu-west-1.amazonaws.com/Modern_Interiors_v41.3.4/1_Interiors/16x16/Theme_Sorter_Singles/22_Museum_Singles/Museum_Singles_39.png")</f>
        <v/>
      </c>
    </row>
    <row r="39" ht="42.0" customHeight="1">
      <c r="A39" s="16" t="s">
        <v>5136</v>
      </c>
      <c r="B39" s="16" t="str">
        <f>IMAGE("https://lmztiles.s3.eu-west-1.amazonaws.com/Modern_Interiors_v41.3.4/1_Interiors/16x16/Theme_Sorter_Singles/22_Museum_Singles/Museum_Singles_40.png")</f>
        <v/>
      </c>
    </row>
    <row r="40" ht="42.0" customHeight="1">
      <c r="A40" s="16" t="s">
        <v>5137</v>
      </c>
      <c r="B40" s="16" t="str">
        <f>IMAGE("https://lmztiles.s3.eu-west-1.amazonaws.com/Modern_Interiors_v41.3.4/1_Interiors/16x16/Theme_Sorter_Singles/22_Museum_Singles/Museum_Singles_41.png")</f>
        <v/>
      </c>
    </row>
    <row r="41" ht="42.0" customHeight="1">
      <c r="A41" s="16" t="s">
        <v>5138</v>
      </c>
      <c r="B41" s="16" t="str">
        <f>IMAGE("https://lmztiles.s3.eu-west-1.amazonaws.com/Modern_Interiors_v41.3.4/1_Interiors/16x16/Theme_Sorter_Singles/22_Museum_Singles/Museum_Singles_42.png")</f>
        <v/>
      </c>
    </row>
    <row r="42" ht="42.0" customHeight="1">
      <c r="A42" s="16" t="s">
        <v>5139</v>
      </c>
      <c r="B42" s="16" t="str">
        <f>IMAGE("https://lmztiles.s3.eu-west-1.amazonaws.com/Modern_Interiors_v41.3.4/1_Interiors/16x16/Theme_Sorter_Singles/22_Museum_Singles/Museum_Singles_43.png")</f>
        <v/>
      </c>
    </row>
    <row r="43" ht="42.0" customHeight="1">
      <c r="A43" s="16" t="s">
        <v>5140</v>
      </c>
      <c r="B43" s="16" t="str">
        <f>IMAGE("https://lmztiles.s3.eu-west-1.amazonaws.com/Modern_Interiors_v41.3.4/1_Interiors/16x16/Theme_Sorter_Singles/22_Museum_Singles/Museum_Singles_44.png")</f>
        <v/>
      </c>
    </row>
    <row r="44" ht="42.0" customHeight="1">
      <c r="A44" s="16" t="s">
        <v>5141</v>
      </c>
      <c r="B44" s="16" t="str">
        <f>IMAGE("https://lmztiles.s3.eu-west-1.amazonaws.com/Modern_Interiors_v41.3.4/1_Interiors/16x16/Theme_Sorter_Singles/22_Museum_Singles/Museum_Singles_45.png")</f>
        <v/>
      </c>
    </row>
    <row r="45" ht="42.0" customHeight="1">
      <c r="A45" s="16" t="s">
        <v>5142</v>
      </c>
      <c r="B45" s="16" t="str">
        <f>IMAGE("https://lmztiles.s3.eu-west-1.amazonaws.com/Modern_Interiors_v41.3.4/1_Interiors/16x16/Theme_Sorter_Singles/22_Museum_Singles/Museum_Singles_46.png")</f>
        <v/>
      </c>
    </row>
    <row r="46" ht="42.0" customHeight="1">
      <c r="A46" s="16" t="s">
        <v>5143</v>
      </c>
      <c r="B46" s="16" t="str">
        <f>IMAGE("https://lmztiles.s3.eu-west-1.amazonaws.com/Modern_Interiors_v41.3.4/1_Interiors/16x16/Theme_Sorter_Singles/22_Museum_Singles/Museum_Singles_47.png")</f>
        <v/>
      </c>
    </row>
    <row r="47" ht="42.0" customHeight="1">
      <c r="A47" s="16" t="s">
        <v>5144</v>
      </c>
      <c r="B47" s="16" t="str">
        <f>IMAGE("https://lmztiles.s3.eu-west-1.amazonaws.com/Modern_Interiors_v41.3.4/1_Interiors/16x16/Theme_Sorter_Singles/22_Museum_Singles/Museum_Singles_48.png")</f>
        <v/>
      </c>
    </row>
    <row r="48" ht="42.0" customHeight="1">
      <c r="A48" s="16" t="s">
        <v>5145</v>
      </c>
      <c r="B48" s="16" t="str">
        <f>IMAGE("https://lmztiles.s3.eu-west-1.amazonaws.com/Modern_Interiors_v41.3.4/1_Interiors/16x16/Theme_Sorter_Singles/22_Museum_Singles/Museum_Singles_49.png")</f>
        <v/>
      </c>
    </row>
    <row r="49" ht="42.0" customHeight="1">
      <c r="A49" s="16" t="s">
        <v>5146</v>
      </c>
      <c r="B49" s="16" t="str">
        <f>IMAGE("https://lmztiles.s3.eu-west-1.amazonaws.com/Modern_Interiors_v41.3.4/1_Interiors/16x16/Theme_Sorter_Singles/22_Museum_Singles/Museum_Singles_50.png")</f>
        <v/>
      </c>
    </row>
    <row r="50" ht="42.0" customHeight="1">
      <c r="A50" s="16" t="s">
        <v>5147</v>
      </c>
      <c r="B50" s="16" t="str">
        <f>IMAGE("https://lmztiles.s3.eu-west-1.amazonaws.com/Modern_Interiors_v41.3.4/1_Interiors/16x16/Theme_Sorter_Singles/22_Museum_Singles/Museum_Singles_51.png")</f>
        <v/>
      </c>
    </row>
    <row r="51" ht="42.0" customHeight="1">
      <c r="A51" s="16" t="s">
        <v>5148</v>
      </c>
      <c r="B51" s="16" t="str">
        <f>IMAGE("https://lmztiles.s3.eu-west-1.amazonaws.com/Modern_Interiors_v41.3.4/1_Interiors/16x16/Theme_Sorter_Singles/22_Museum_Singles/Museum_Singles_52.png")</f>
        <v/>
      </c>
    </row>
    <row r="52" ht="42.0" customHeight="1">
      <c r="A52" s="16" t="s">
        <v>5149</v>
      </c>
      <c r="B52" s="16" t="str">
        <f>IMAGE("https://lmztiles.s3.eu-west-1.amazonaws.com/Modern_Interiors_v41.3.4/1_Interiors/16x16/Theme_Sorter_Singles/22_Museum_Singles/Museum_Singles_53.png")</f>
        <v/>
      </c>
    </row>
    <row r="53" ht="42.0" customHeight="1">
      <c r="A53" s="16" t="s">
        <v>5150</v>
      </c>
      <c r="B53" s="16" t="str">
        <f>IMAGE("https://lmztiles.s3.eu-west-1.amazonaws.com/Modern_Interiors_v41.3.4/1_Interiors/16x16/Theme_Sorter_Singles/22_Museum_Singles/Museum_Singles_54.png")</f>
        <v/>
      </c>
    </row>
    <row r="54" ht="42.0" customHeight="1">
      <c r="A54" s="16" t="s">
        <v>5151</v>
      </c>
      <c r="B54" s="16" t="str">
        <f>IMAGE("https://lmztiles.s3.eu-west-1.amazonaws.com/Modern_Interiors_v41.3.4/1_Interiors/16x16/Theme_Sorter_Singles/22_Museum_Singles/Museum_Singles_55.png")</f>
        <v/>
      </c>
    </row>
    <row r="55" ht="42.0" customHeight="1">
      <c r="A55" s="16" t="s">
        <v>5152</v>
      </c>
      <c r="B55" s="16" t="str">
        <f>IMAGE("https://lmztiles.s3.eu-west-1.amazonaws.com/Modern_Interiors_v41.3.4/1_Interiors/16x16/Theme_Sorter_Singles/22_Museum_Singles/Museum_Singles_56.png")</f>
        <v/>
      </c>
    </row>
    <row r="56" ht="42.0" customHeight="1">
      <c r="A56" s="16" t="s">
        <v>5153</v>
      </c>
      <c r="B56" s="16" t="str">
        <f>IMAGE("https://lmztiles.s3.eu-west-1.amazonaws.com/Modern_Interiors_v41.3.4/1_Interiors/16x16/Theme_Sorter_Singles/22_Museum_Singles/Museum_Singles_57.png")</f>
        <v/>
      </c>
    </row>
    <row r="57" ht="42.0" customHeight="1">
      <c r="A57" s="16" t="s">
        <v>5154</v>
      </c>
      <c r="B57" s="16" t="str">
        <f>IMAGE("https://lmztiles.s3.eu-west-1.amazonaws.com/Modern_Interiors_v41.3.4/1_Interiors/16x16/Theme_Sorter_Singles/22_Museum_Singles/Museum_Singles_58.png")</f>
        <v/>
      </c>
    </row>
    <row r="58" ht="42.0" customHeight="1">
      <c r="A58" s="16" t="s">
        <v>5155</v>
      </c>
      <c r="B58" s="16" t="str">
        <f>IMAGE("https://lmztiles.s3.eu-west-1.amazonaws.com/Modern_Interiors_v41.3.4/1_Interiors/16x16/Theme_Sorter_Singles/22_Museum_Singles/Museum_Singles_59.png")</f>
        <v/>
      </c>
    </row>
    <row r="59" ht="42.0" customHeight="1">
      <c r="A59" s="16" t="s">
        <v>5156</v>
      </c>
      <c r="B59" s="16" t="str">
        <f>IMAGE("https://lmztiles.s3.eu-west-1.amazonaws.com/Modern_Interiors_v41.3.4/1_Interiors/16x16/Theme_Sorter_Singles/22_Museum_Singles/Museum_Singles_60.png")</f>
        <v/>
      </c>
    </row>
    <row r="60" ht="42.0" customHeight="1">
      <c r="A60" s="16" t="s">
        <v>5157</v>
      </c>
      <c r="B60" s="16" t="str">
        <f>IMAGE("https://lmztiles.s3.eu-west-1.amazonaws.com/Modern_Interiors_v41.3.4/1_Interiors/16x16/Theme_Sorter_Singles/22_Museum_Singles/Museum_Singles_61.png")</f>
        <v/>
      </c>
    </row>
    <row r="61" ht="42.0" customHeight="1">
      <c r="A61" s="16" t="s">
        <v>5158</v>
      </c>
      <c r="B61" s="16" t="str">
        <f>IMAGE("https://lmztiles.s3.eu-west-1.amazonaws.com/Modern_Interiors_v41.3.4/1_Interiors/16x16/Theme_Sorter_Singles/22_Museum_Singles/Museum_Singles_62.png")</f>
        <v/>
      </c>
    </row>
    <row r="62" ht="42.0" customHeight="1">
      <c r="A62" s="16" t="s">
        <v>5159</v>
      </c>
      <c r="B62" s="16" t="str">
        <f>IMAGE("https://lmztiles.s3.eu-west-1.amazonaws.com/Modern_Interiors_v41.3.4/1_Interiors/16x16/Theme_Sorter_Singles/22_Museum_Singles/Museum_Singles_63.png")</f>
        <v/>
      </c>
    </row>
    <row r="63" ht="42.0" customHeight="1">
      <c r="A63" s="16" t="s">
        <v>5160</v>
      </c>
      <c r="B63" s="16" t="str">
        <f>IMAGE("https://lmztiles.s3.eu-west-1.amazonaws.com/Modern_Interiors_v41.3.4/1_Interiors/16x16/Theme_Sorter_Singles/22_Museum_Singles/Museum_Singles_64.png")</f>
        <v/>
      </c>
    </row>
    <row r="64" ht="42.0" customHeight="1">
      <c r="A64" s="16" t="s">
        <v>5161</v>
      </c>
      <c r="B64" s="16" t="str">
        <f>IMAGE("https://lmztiles.s3.eu-west-1.amazonaws.com/Modern_Interiors_v41.3.4/1_Interiors/16x16/Theme_Sorter_Singles/22_Museum_Singles/Museum_Singles_65.png")</f>
        <v/>
      </c>
    </row>
    <row r="65" ht="42.0" customHeight="1">
      <c r="A65" s="16" t="s">
        <v>5162</v>
      </c>
      <c r="B65" s="16" t="str">
        <f>IMAGE("https://lmztiles.s3.eu-west-1.amazonaws.com/Modern_Interiors_v41.3.4/1_Interiors/16x16/Theme_Sorter_Singles/22_Museum_Singles/Museum_Singles_66.png")</f>
        <v/>
      </c>
    </row>
    <row r="66" ht="42.0" customHeight="1">
      <c r="A66" s="16" t="s">
        <v>5163</v>
      </c>
      <c r="B66" s="16" t="str">
        <f>IMAGE("https://lmztiles.s3.eu-west-1.amazonaws.com/Modern_Interiors_v41.3.4/1_Interiors/16x16/Theme_Sorter_Singles/22_Museum_Singles/Museum_Singles_67.png")</f>
        <v/>
      </c>
    </row>
    <row r="67" ht="42.0" customHeight="1">
      <c r="A67" s="16" t="s">
        <v>5164</v>
      </c>
      <c r="B67" s="16" t="str">
        <f>IMAGE("https://lmztiles.s3.eu-west-1.amazonaws.com/Modern_Interiors_v41.3.4/1_Interiors/16x16/Theme_Sorter_Singles/22_Museum_Singles/Museum_Singles_68.png")</f>
        <v/>
      </c>
    </row>
    <row r="68" ht="42.0" customHeight="1">
      <c r="A68" s="16" t="s">
        <v>5165</v>
      </c>
      <c r="B68" s="16" t="str">
        <f>IMAGE("https://lmztiles.s3.eu-west-1.amazonaws.com/Modern_Interiors_v41.3.4/1_Interiors/16x16/Theme_Sorter_Singles/22_Museum_Singles/Museum_Singles_69.png")</f>
        <v/>
      </c>
    </row>
    <row r="69" ht="42.0" customHeight="1">
      <c r="A69" s="16" t="s">
        <v>5166</v>
      </c>
      <c r="B69" s="16" t="str">
        <f>IMAGE("https://lmztiles.s3.eu-west-1.amazonaws.com/Modern_Interiors_v41.3.4/1_Interiors/16x16/Theme_Sorter_Singles/22_Museum_Singles/Museum_Singles_70.png")</f>
        <v/>
      </c>
    </row>
    <row r="70" ht="42.0" customHeight="1">
      <c r="A70" s="16" t="s">
        <v>5167</v>
      </c>
      <c r="B70" s="16" t="str">
        <f>IMAGE("https://lmztiles.s3.eu-west-1.amazonaws.com/Modern_Interiors_v41.3.4/1_Interiors/16x16/Theme_Sorter_Singles/22_Museum_Singles/Museum_Singles_71.png")</f>
        <v/>
      </c>
    </row>
    <row r="71" ht="42.0" customHeight="1">
      <c r="A71" s="16" t="s">
        <v>5168</v>
      </c>
      <c r="B71" s="16" t="str">
        <f>IMAGE("https://lmztiles.s3.eu-west-1.amazonaws.com/Modern_Interiors_v41.3.4/1_Interiors/16x16/Theme_Sorter_Singles/22_Museum_Singles/Museum_Singles_72.png")</f>
        <v/>
      </c>
    </row>
    <row r="72" ht="42.0" customHeight="1">
      <c r="A72" s="16" t="s">
        <v>5169</v>
      </c>
      <c r="B72" s="16" t="str">
        <f>IMAGE("https://lmztiles.s3.eu-west-1.amazonaws.com/Modern_Interiors_v41.3.4/1_Interiors/16x16/Theme_Sorter_Singles/22_Museum_Singles/Museum_Singles_73.png")</f>
        <v/>
      </c>
    </row>
    <row r="73" ht="42.0" customHeight="1">
      <c r="A73" s="16" t="s">
        <v>5170</v>
      </c>
      <c r="B73" s="16" t="str">
        <f>IMAGE("https://lmztiles.s3.eu-west-1.amazonaws.com/Modern_Interiors_v41.3.4/1_Interiors/16x16/Theme_Sorter_Singles/22_Museum_Singles/Museum_Singles_74.png")</f>
        <v/>
      </c>
    </row>
    <row r="74" ht="42.0" customHeight="1">
      <c r="A74" s="16" t="s">
        <v>5171</v>
      </c>
      <c r="B74" s="16" t="str">
        <f>IMAGE("https://lmztiles.s3.eu-west-1.amazonaws.com/Modern_Interiors_v41.3.4/1_Interiors/16x16/Theme_Sorter_Singles/22_Museum_Singles/Museum_Singles_75.png")</f>
        <v/>
      </c>
    </row>
    <row r="75" ht="42.0" customHeight="1">
      <c r="A75" s="16" t="s">
        <v>5172</v>
      </c>
      <c r="B75" s="16" t="str">
        <f>IMAGE("https://lmztiles.s3.eu-west-1.amazonaws.com/Modern_Interiors_v41.3.4/1_Interiors/16x16/Theme_Sorter_Singles/22_Museum_Singles/Museum_Singles_76.png")</f>
        <v/>
      </c>
    </row>
    <row r="76" ht="42.0" customHeight="1">
      <c r="A76" s="16" t="s">
        <v>5173</v>
      </c>
      <c r="B76" s="16" t="str">
        <f>IMAGE("https://lmztiles.s3.eu-west-1.amazonaws.com/Modern_Interiors_v41.3.4/1_Interiors/16x16/Theme_Sorter_Singles/22_Museum_Singles/Museum_Singles_77.png")</f>
        <v/>
      </c>
    </row>
    <row r="77" ht="42.0" customHeight="1">
      <c r="A77" s="16" t="s">
        <v>5174</v>
      </c>
      <c r="B77" s="16" t="str">
        <f>IMAGE("https://lmztiles.s3.eu-west-1.amazonaws.com/Modern_Interiors_v41.3.4/1_Interiors/16x16/Theme_Sorter_Singles/22_Museum_Singles/Museum_Singles_78.png")</f>
        <v/>
      </c>
    </row>
    <row r="78" ht="42.0" customHeight="1">
      <c r="A78" s="16" t="s">
        <v>5175</v>
      </c>
      <c r="B78" s="16" t="str">
        <f>IMAGE("https://lmztiles.s3.eu-west-1.amazonaws.com/Modern_Interiors_v41.3.4/1_Interiors/16x16/Theme_Sorter_Singles/22_Museum_Singles/Museum_Singles_79.png")</f>
        <v/>
      </c>
    </row>
    <row r="79" ht="42.0" customHeight="1">
      <c r="A79" s="16" t="s">
        <v>5176</v>
      </c>
      <c r="B79" s="16" t="str">
        <f>IMAGE("https://lmztiles.s3.eu-west-1.amazonaws.com/Modern_Interiors_v41.3.4/1_Interiors/16x16/Theme_Sorter_Singles/22_Museum_Singles/Museum_Singles_80.png")</f>
        <v/>
      </c>
    </row>
    <row r="80" ht="42.0" customHeight="1">
      <c r="A80" s="16" t="s">
        <v>5177</v>
      </c>
      <c r="B80" s="16" t="str">
        <f>IMAGE("https://lmztiles.s3.eu-west-1.amazonaws.com/Modern_Interiors_v41.3.4/1_Interiors/16x16/Theme_Sorter_Singles/22_Museum_Singles/Museum_Singles_81.png")</f>
        <v/>
      </c>
    </row>
    <row r="81" ht="42.0" customHeight="1">
      <c r="A81" s="16" t="s">
        <v>5178</v>
      </c>
      <c r="B81" s="16" t="str">
        <f>IMAGE("https://lmztiles.s3.eu-west-1.amazonaws.com/Modern_Interiors_v41.3.4/1_Interiors/16x16/Theme_Sorter_Singles/22_Museum_Singles/Museum_Singles_82.png")</f>
        <v/>
      </c>
    </row>
    <row r="82" ht="42.0" customHeight="1">
      <c r="A82" s="16" t="s">
        <v>5179</v>
      </c>
      <c r="B82" s="16" t="str">
        <f>IMAGE("https://lmztiles.s3.eu-west-1.amazonaws.com/Modern_Interiors_v41.3.4/1_Interiors/16x16/Theme_Sorter_Singles/22_Museum_Singles/Museum_Singles_83.png")</f>
        <v/>
      </c>
    </row>
    <row r="83" ht="42.0" customHeight="1">
      <c r="A83" s="16" t="s">
        <v>5180</v>
      </c>
      <c r="B83" s="16" t="str">
        <f>IMAGE("https://lmztiles.s3.eu-west-1.amazonaws.com/Modern_Interiors_v41.3.4/1_Interiors/16x16/Theme_Sorter_Singles/22_Museum_Singles/Museum_Singles_84.png")</f>
        <v/>
      </c>
    </row>
    <row r="84" ht="42.0" customHeight="1">
      <c r="A84" s="16" t="s">
        <v>5181</v>
      </c>
      <c r="B84" s="16" t="str">
        <f>IMAGE("https://lmztiles.s3.eu-west-1.amazonaws.com/Modern_Interiors_v41.3.4/1_Interiors/16x16/Theme_Sorter_Singles/22_Museum_Singles/Museum_Singles_85.png")</f>
        <v/>
      </c>
    </row>
    <row r="85" ht="42.0" customHeight="1">
      <c r="A85" s="16" t="s">
        <v>5182</v>
      </c>
      <c r="B85" s="16" t="str">
        <f>IMAGE("https://lmztiles.s3.eu-west-1.amazonaws.com/Modern_Interiors_v41.3.4/1_Interiors/16x16/Theme_Sorter_Singles/22_Museum_Singles/Museum_Singles_86.png")</f>
        <v/>
      </c>
    </row>
    <row r="86" ht="42.0" customHeight="1">
      <c r="A86" s="16" t="s">
        <v>5183</v>
      </c>
      <c r="B86" s="16" t="str">
        <f>IMAGE("https://lmztiles.s3.eu-west-1.amazonaws.com/Modern_Interiors_v41.3.4/1_Interiors/16x16/Theme_Sorter_Singles/22_Museum_Singles/Museum_Singles_87.png")</f>
        <v/>
      </c>
    </row>
    <row r="87" ht="42.0" customHeight="1">
      <c r="A87" s="16" t="s">
        <v>5184</v>
      </c>
      <c r="B87" s="16" t="str">
        <f>IMAGE("https://lmztiles.s3.eu-west-1.amazonaws.com/Modern_Interiors_v41.3.4/1_Interiors/16x16/Theme_Sorter_Singles/22_Museum_Singles/Museum_Singles_88.png")</f>
        <v/>
      </c>
    </row>
    <row r="88" ht="42.0" customHeight="1">
      <c r="A88" s="16" t="s">
        <v>5185</v>
      </c>
      <c r="B88" s="16" t="str">
        <f>IMAGE("https://lmztiles.s3.eu-west-1.amazonaws.com/Modern_Interiors_v41.3.4/1_Interiors/16x16/Theme_Sorter_Singles/22_Museum_Singles/Museum_Singles_89.png")</f>
        <v/>
      </c>
    </row>
    <row r="89" ht="42.0" customHeight="1">
      <c r="A89" s="16" t="s">
        <v>5186</v>
      </c>
      <c r="B89" s="16" t="str">
        <f>IMAGE("https://lmztiles.s3.eu-west-1.amazonaws.com/Modern_Interiors_v41.3.4/1_Interiors/16x16/Theme_Sorter_Singles/22_Museum_Singles/Museum_Singles_90.png")</f>
        <v/>
      </c>
    </row>
    <row r="90" ht="42.0" customHeight="1">
      <c r="A90" s="16" t="s">
        <v>5187</v>
      </c>
      <c r="B90" s="16" t="str">
        <f>IMAGE("https://lmztiles.s3.eu-west-1.amazonaws.com/Modern_Interiors_v41.3.4/1_Interiors/16x16/Theme_Sorter_Singles/22_Museum_Singles/Museum_Singles_91.png")</f>
        <v/>
      </c>
    </row>
    <row r="91" ht="42.0" customHeight="1">
      <c r="A91" s="16" t="s">
        <v>5188</v>
      </c>
      <c r="B91" s="16" t="str">
        <f>IMAGE("https://lmztiles.s3.eu-west-1.amazonaws.com/Modern_Interiors_v41.3.4/1_Interiors/16x16/Theme_Sorter_Singles/22_Museum_Singles/Museum_Singles_92.png")</f>
        <v/>
      </c>
    </row>
    <row r="92" ht="42.0" customHeight="1">
      <c r="A92" s="16" t="s">
        <v>5189</v>
      </c>
      <c r="B92" s="16" t="str">
        <f>IMAGE("https://lmztiles.s3.eu-west-1.amazonaws.com/Modern_Interiors_v41.3.4/1_Interiors/16x16/Theme_Sorter_Singles/22_Museum_Singles/Museum_Singles_93.png")</f>
        <v/>
      </c>
    </row>
    <row r="93" ht="42.0" customHeight="1">
      <c r="A93" s="16" t="s">
        <v>5190</v>
      </c>
      <c r="B93" s="16" t="str">
        <f>IMAGE("https://lmztiles.s3.eu-west-1.amazonaws.com/Modern_Interiors_v41.3.4/1_Interiors/16x16/Theme_Sorter_Singles/22_Museum_Singles/Museum_Singles_94.png")</f>
        <v/>
      </c>
    </row>
    <row r="94" ht="42.0" customHeight="1">
      <c r="A94" s="16" t="s">
        <v>5191</v>
      </c>
      <c r="B94" s="16" t="str">
        <f>IMAGE("https://lmztiles.s3.eu-west-1.amazonaws.com/Modern_Interiors_v41.3.4/1_Interiors/16x16/Theme_Sorter_Singles/22_Museum_Singles/Museum_Singles_95.png")</f>
        <v/>
      </c>
    </row>
    <row r="95" ht="42.0" customHeight="1">
      <c r="A95" s="16" t="s">
        <v>5192</v>
      </c>
      <c r="B95" s="16" t="str">
        <f>IMAGE("https://lmztiles.s3.eu-west-1.amazonaws.com/Modern_Interiors_v41.3.4/1_Interiors/16x16/Theme_Sorter_Singles/22_Museum_Singles/Museum_Singles_96.png")</f>
        <v/>
      </c>
    </row>
    <row r="96" ht="42.0" customHeight="1">
      <c r="A96" s="16" t="s">
        <v>5193</v>
      </c>
      <c r="B96" s="16" t="str">
        <f>IMAGE("https://lmztiles.s3.eu-west-1.amazonaws.com/Modern_Interiors_v41.3.4/1_Interiors/16x16/Theme_Sorter_Singles/22_Museum_Singles/Museum_Singles_97.png")</f>
        <v/>
      </c>
    </row>
    <row r="97" ht="42.0" customHeight="1">
      <c r="A97" s="16" t="s">
        <v>5194</v>
      </c>
      <c r="B97" s="16" t="str">
        <f>IMAGE("https://lmztiles.s3.eu-west-1.amazonaws.com/Modern_Interiors_v41.3.4/1_Interiors/16x16/Theme_Sorter_Singles/22_Museum_Singles/Museum_Singles_98.png")</f>
        <v/>
      </c>
    </row>
    <row r="98" ht="42.0" customHeight="1">
      <c r="A98" s="16" t="s">
        <v>5195</v>
      </c>
      <c r="B98" s="16" t="str">
        <f>IMAGE("https://lmztiles.s3.eu-west-1.amazonaws.com/Modern_Interiors_v41.3.4/1_Interiors/16x16/Theme_Sorter_Singles/22_Museum_Singles/Museum_Singles_99.png")</f>
        <v/>
      </c>
    </row>
    <row r="99" ht="42.0" customHeight="1">
      <c r="A99" s="16" t="s">
        <v>5196</v>
      </c>
      <c r="B99" s="16" t="str">
        <f>IMAGE("https://lmztiles.s3.eu-west-1.amazonaws.com/Modern_Interiors_v41.3.4/1_Interiors/16x16/Theme_Sorter_Singles/22_Museum_Singles/Museum_Singles_100.png")</f>
        <v/>
      </c>
    </row>
    <row r="100" ht="42.0" customHeight="1">
      <c r="A100" s="16" t="s">
        <v>5197</v>
      </c>
      <c r="B100" s="16" t="str">
        <f>IMAGE("https://lmztiles.s3.eu-west-1.amazonaws.com/Modern_Interiors_v41.3.4/1_Interiors/16x16/Theme_Sorter_Singles/22_Museum_Singles/Museum_Singles_101.png")</f>
        <v/>
      </c>
    </row>
    <row r="101" ht="42.0" customHeight="1">
      <c r="A101" s="16" t="s">
        <v>5198</v>
      </c>
      <c r="B101" s="16" t="str">
        <f>IMAGE("https://lmztiles.s3.eu-west-1.amazonaws.com/Modern_Interiors_v41.3.4/1_Interiors/16x16/Theme_Sorter_Singles/22_Museum_Singles/Museum_Singles_102.png")</f>
        <v/>
      </c>
    </row>
    <row r="102" ht="42.0" customHeight="1">
      <c r="A102" s="16" t="s">
        <v>5199</v>
      </c>
      <c r="B102" s="16" t="str">
        <f>IMAGE("https://lmztiles.s3.eu-west-1.amazonaws.com/Modern_Interiors_v41.3.4/1_Interiors/16x16/Theme_Sorter_Singles/22_Museum_Singles/Museum_Singles_103.png")</f>
        <v/>
      </c>
    </row>
    <row r="103" ht="42.0" customHeight="1">
      <c r="A103" s="16" t="s">
        <v>5200</v>
      </c>
      <c r="B103" s="16" t="str">
        <f>IMAGE("https://lmztiles.s3.eu-west-1.amazonaws.com/Modern_Interiors_v41.3.4/1_Interiors/16x16/Theme_Sorter_Singles/22_Museum_Singles/Museum_Singles_104.png")</f>
        <v/>
      </c>
    </row>
    <row r="104" ht="42.0" customHeight="1">
      <c r="A104" s="16" t="s">
        <v>5201</v>
      </c>
      <c r="B104" s="16" t="str">
        <f>IMAGE("https://lmztiles.s3.eu-west-1.amazonaws.com/Modern_Interiors_v41.3.4/1_Interiors/16x16/Theme_Sorter_Singles/22_Museum_Singles/Museum_Singles_105.png")</f>
        <v/>
      </c>
    </row>
    <row r="105" ht="42.0" customHeight="1">
      <c r="A105" s="16" t="s">
        <v>5202</v>
      </c>
      <c r="B105" s="16" t="str">
        <f>IMAGE("https://lmztiles.s3.eu-west-1.amazonaws.com/Modern_Interiors_v41.3.4/1_Interiors/16x16/Theme_Sorter_Singles/22_Museum_Singles/Museum_Singles_106.png")</f>
        <v/>
      </c>
    </row>
    <row r="106" ht="42.0" customHeight="1">
      <c r="A106" s="16" t="s">
        <v>5203</v>
      </c>
      <c r="B106" s="16" t="str">
        <f>IMAGE("https://lmztiles.s3.eu-west-1.amazonaws.com/Modern_Interiors_v41.3.4/1_Interiors/16x16/Theme_Sorter_Singles/22_Museum_Singles/Museum_Singles_107.png")</f>
        <v/>
      </c>
    </row>
    <row r="107" ht="42.0" customHeight="1">
      <c r="A107" s="16" t="s">
        <v>5204</v>
      </c>
      <c r="B107" s="16" t="str">
        <f>IMAGE("https://lmztiles.s3.eu-west-1.amazonaws.com/Modern_Interiors_v41.3.4/1_Interiors/16x16/Theme_Sorter_Singles/22_Museum_Singles/Museum_Singles_108.png")</f>
        <v/>
      </c>
    </row>
    <row r="108" ht="42.0" customHeight="1">
      <c r="A108" s="16" t="s">
        <v>5205</v>
      </c>
      <c r="B108" s="16" t="str">
        <f>IMAGE("https://lmztiles.s3.eu-west-1.amazonaws.com/Modern_Interiors_v41.3.4/1_Interiors/16x16/Theme_Sorter_Singles/22_Museum_Singles/Museum_Singles_109.png")</f>
        <v/>
      </c>
    </row>
    <row r="109" ht="42.0" customHeight="1">
      <c r="A109" s="16" t="s">
        <v>5206</v>
      </c>
      <c r="B109" s="16" t="str">
        <f>IMAGE("https://lmztiles.s3.eu-west-1.amazonaws.com/Modern_Interiors_v41.3.4/1_Interiors/16x16/Theme_Sorter_Singles/22_Museum_Singles/Museum_Singles_110.png")</f>
        <v/>
      </c>
    </row>
    <row r="110" ht="42.0" customHeight="1">
      <c r="A110" s="16" t="s">
        <v>5207</v>
      </c>
      <c r="B110" s="16" t="str">
        <f>IMAGE("https://lmztiles.s3.eu-west-1.amazonaws.com/Modern_Interiors_v41.3.4/1_Interiors/16x16/Theme_Sorter_Singles/22_Museum_Singles/Museum_Singles_111.png")</f>
        <v/>
      </c>
    </row>
    <row r="111" ht="42.0" customHeight="1">
      <c r="A111" s="16" t="s">
        <v>5208</v>
      </c>
      <c r="B111" s="16" t="str">
        <f>IMAGE("https://lmztiles.s3.eu-west-1.amazonaws.com/Modern_Interiors_v41.3.4/1_Interiors/16x16/Theme_Sorter_Singles/22_Museum_Singles/Museum_Singles_112.png")</f>
        <v/>
      </c>
    </row>
    <row r="112" ht="42.0" customHeight="1">
      <c r="A112" s="16" t="s">
        <v>5209</v>
      </c>
      <c r="B112" s="16" t="str">
        <f>IMAGE("https://lmztiles.s3.eu-west-1.amazonaws.com/Modern_Interiors_v41.3.4/1_Interiors/16x16/Theme_Sorter_Singles/22_Museum_Singles/Museum_Singles_113.png")</f>
        <v/>
      </c>
    </row>
    <row r="113" ht="42.0" customHeight="1">
      <c r="A113" s="16" t="s">
        <v>5210</v>
      </c>
      <c r="B113" s="16" t="str">
        <f>IMAGE("https://lmztiles.s3.eu-west-1.amazonaws.com/Modern_Interiors_v41.3.4/1_Interiors/16x16/Theme_Sorter_Singles/22_Museum_Singles/Museum_Singles_114.png")</f>
        <v/>
      </c>
    </row>
    <row r="114" ht="42.0" customHeight="1">
      <c r="A114" s="16" t="s">
        <v>5211</v>
      </c>
      <c r="B114" s="16" t="str">
        <f>IMAGE("https://lmztiles.s3.eu-west-1.amazonaws.com/Modern_Interiors_v41.3.4/1_Interiors/16x16/Theme_Sorter_Singles/22_Museum_Singles/Museum_Singles_115.png")</f>
        <v/>
      </c>
    </row>
    <row r="115" ht="42.0" customHeight="1">
      <c r="A115" s="16" t="s">
        <v>5212</v>
      </c>
      <c r="B115" s="16" t="str">
        <f>IMAGE("https://lmztiles.s3.eu-west-1.amazonaws.com/Modern_Interiors_v41.3.4/1_Interiors/16x16/Theme_Sorter_Singles/22_Museum_Singles/Museum_Singles_116.png")</f>
        <v/>
      </c>
    </row>
    <row r="116" ht="42.0" customHeight="1">
      <c r="A116" s="16" t="s">
        <v>5213</v>
      </c>
      <c r="B116" s="16" t="str">
        <f>IMAGE("https://lmztiles.s3.eu-west-1.amazonaws.com/Modern_Interiors_v41.3.4/1_Interiors/16x16/Theme_Sorter_Singles/22_Museum_Singles/Museum_Singles_117.png")</f>
        <v/>
      </c>
    </row>
    <row r="117" ht="42.0" customHeight="1">
      <c r="A117" s="16" t="s">
        <v>5214</v>
      </c>
      <c r="B117" s="16" t="str">
        <f>IMAGE("https://lmztiles.s3.eu-west-1.amazonaws.com/Modern_Interiors_v41.3.4/1_Interiors/16x16/Theme_Sorter_Singles/22_Museum_Singles/Museum_Singles_118.png")</f>
        <v/>
      </c>
    </row>
    <row r="118" ht="42.0" customHeight="1">
      <c r="A118" s="16" t="s">
        <v>5215</v>
      </c>
      <c r="B118" s="16" t="str">
        <f>IMAGE("https://lmztiles.s3.eu-west-1.amazonaws.com/Modern_Interiors_v41.3.4/1_Interiors/16x16/Theme_Sorter_Singles/22_Museum_Singles/Museum_Singles_119.png")</f>
        <v/>
      </c>
    </row>
    <row r="119" ht="42.0" customHeight="1">
      <c r="A119" s="16" t="s">
        <v>5216</v>
      </c>
      <c r="B119" s="16" t="str">
        <f>IMAGE("https://lmztiles.s3.eu-west-1.amazonaws.com/Modern_Interiors_v41.3.4/1_Interiors/16x16/Theme_Sorter_Singles/22_Museum_Singles/Museum_Singles_120.png")</f>
        <v/>
      </c>
    </row>
    <row r="120" ht="42.0" customHeight="1">
      <c r="A120" s="16" t="s">
        <v>5217</v>
      </c>
      <c r="B120" s="16" t="str">
        <f>IMAGE("https://lmztiles.s3.eu-west-1.amazonaws.com/Modern_Interiors_v41.3.4/1_Interiors/16x16/Theme_Sorter_Singles/22_Museum_Singles/Museum_Singles_121.png")</f>
        <v/>
      </c>
    </row>
    <row r="121" ht="42.0" customHeight="1">
      <c r="A121" s="16" t="s">
        <v>5218</v>
      </c>
      <c r="B121" s="16" t="str">
        <f>IMAGE("https://lmztiles.s3.eu-west-1.amazonaws.com/Modern_Interiors_v41.3.4/1_Interiors/16x16/Theme_Sorter_Singles/22_Museum_Singles/Museum_Singles_122.png")</f>
        <v/>
      </c>
    </row>
    <row r="122" ht="42.0" customHeight="1">
      <c r="A122" s="16" t="s">
        <v>5219</v>
      </c>
      <c r="B122" s="16" t="str">
        <f>IMAGE("https://lmztiles.s3.eu-west-1.amazonaws.com/Modern_Interiors_v41.3.4/1_Interiors/16x16/Theme_Sorter_Singles/22_Museum_Singles/Museum_Singles_123.png")</f>
        <v/>
      </c>
    </row>
    <row r="123" ht="42.0" customHeight="1">
      <c r="A123" s="16" t="s">
        <v>5220</v>
      </c>
      <c r="B123" s="16" t="str">
        <f>IMAGE("https://lmztiles.s3.eu-west-1.amazonaws.com/Modern_Interiors_v41.3.4/1_Interiors/16x16/Theme_Sorter_Singles/22_Museum_Singles/Museum_Singles_124.png")</f>
        <v/>
      </c>
    </row>
    <row r="124" ht="42.0" customHeight="1">
      <c r="A124" s="16" t="s">
        <v>5221</v>
      </c>
      <c r="B124" s="16" t="str">
        <f>IMAGE("https://lmztiles.s3.eu-west-1.amazonaws.com/Modern_Interiors_v41.3.4/1_Interiors/16x16/Theme_Sorter_Singles/22_Museum_Singles/Museum_Singles_125.png")</f>
        <v/>
      </c>
    </row>
    <row r="125" ht="42.0" customHeight="1">
      <c r="A125" s="16" t="s">
        <v>5222</v>
      </c>
      <c r="B125" s="16" t="str">
        <f>IMAGE("https://lmztiles.s3.eu-west-1.amazonaws.com/Modern_Interiors_v41.3.4/1_Interiors/16x16/Theme_Sorter_Singles/22_Museum_Singles/Museum_Singles_126.png")</f>
        <v/>
      </c>
    </row>
    <row r="126" ht="42.0" customHeight="1">
      <c r="A126" s="16" t="s">
        <v>5223</v>
      </c>
      <c r="B126" s="16" t="str">
        <f>IMAGE("https://lmztiles.s3.eu-west-1.amazonaws.com/Modern_Interiors_v41.3.4/1_Interiors/16x16/Theme_Sorter_Singles/22_Museum_Singles/Museum_Singles_127.png")</f>
        <v/>
      </c>
    </row>
    <row r="127" ht="42.0" customHeight="1">
      <c r="A127" s="16" t="s">
        <v>5224</v>
      </c>
      <c r="B127" s="16" t="str">
        <f>IMAGE("https://lmztiles.s3.eu-west-1.amazonaws.com/Modern_Interiors_v41.3.4/1_Interiors/16x16/Theme_Sorter_Singles/22_Museum_Singles/Museum_Singles_128.png")</f>
        <v/>
      </c>
    </row>
    <row r="128" ht="42.0" customHeight="1">
      <c r="A128" s="16" t="s">
        <v>5225</v>
      </c>
      <c r="B128" s="16" t="str">
        <f>IMAGE("https://lmztiles.s3.eu-west-1.amazonaws.com/Modern_Interiors_v41.3.4/1_Interiors/16x16/Theme_Sorter_Singles/22_Museum_Singles/Museum_Singles_129.png")</f>
        <v/>
      </c>
    </row>
    <row r="129" ht="42.0" customHeight="1">
      <c r="A129" s="16" t="s">
        <v>5226</v>
      </c>
      <c r="B129" s="16" t="str">
        <f>IMAGE("https://lmztiles.s3.eu-west-1.amazonaws.com/Modern_Interiors_v41.3.4/1_Interiors/16x16/Theme_Sorter_Singles/22_Museum_Singles/Museum_Singles_130.png")</f>
        <v/>
      </c>
    </row>
    <row r="130" ht="42.0" customHeight="1">
      <c r="A130" s="16" t="s">
        <v>5227</v>
      </c>
      <c r="B130" s="16" t="str">
        <f>IMAGE("https://lmztiles.s3.eu-west-1.amazonaws.com/Modern_Interiors_v41.3.4/1_Interiors/16x16/Theme_Sorter_Singles/22_Museum_Singles/Museum_Singles_131.png")</f>
        <v/>
      </c>
    </row>
    <row r="131" ht="42.0" customHeight="1">
      <c r="A131" s="16" t="s">
        <v>5228</v>
      </c>
      <c r="B131" s="16" t="str">
        <f>IMAGE("https://lmztiles.s3.eu-west-1.amazonaws.com/Modern_Interiors_v41.3.4/1_Interiors/16x16/Theme_Sorter_Singles/22_Museum_Singles/Museum_Singles_132.png")</f>
        <v/>
      </c>
    </row>
    <row r="132" ht="42.0" customHeight="1">
      <c r="A132" s="16" t="s">
        <v>5229</v>
      </c>
      <c r="B132" s="16" t="str">
        <f>IMAGE("https://lmztiles.s3.eu-west-1.amazonaws.com/Modern_Interiors_v41.3.4/1_Interiors/16x16/Theme_Sorter_Singles/22_Museum_Singles/Museum_Singles_133.png")</f>
        <v/>
      </c>
    </row>
    <row r="133" ht="42.0" customHeight="1">
      <c r="A133" s="16" t="s">
        <v>5230</v>
      </c>
      <c r="B133" s="16" t="str">
        <f>IMAGE("https://lmztiles.s3.eu-west-1.amazonaws.com/Modern_Interiors_v41.3.4/1_Interiors/16x16/Theme_Sorter_Singles/22_Museum_Singles/Museum_Singles_134.png")</f>
        <v/>
      </c>
    </row>
    <row r="134" ht="42.0" customHeight="1">
      <c r="A134" s="16" t="s">
        <v>5231</v>
      </c>
      <c r="B134" s="16" t="str">
        <f>IMAGE("https://lmztiles.s3.eu-west-1.amazonaws.com/Modern_Interiors_v41.3.4/1_Interiors/16x16/Theme_Sorter_Singles/22_Museum_Singles/Museum_Singles_135.png")</f>
        <v/>
      </c>
    </row>
    <row r="135" ht="42.0" customHeight="1">
      <c r="A135" s="16" t="s">
        <v>5232</v>
      </c>
      <c r="B135" s="16" t="str">
        <f>IMAGE("https://lmztiles.s3.eu-west-1.amazonaws.com/Modern_Interiors_v41.3.4/1_Interiors/16x16/Theme_Sorter_Singles/22_Museum_Singles/Museum_Singles_136.png")</f>
        <v/>
      </c>
    </row>
    <row r="136" ht="42.0" customHeight="1">
      <c r="A136" s="16" t="s">
        <v>5233</v>
      </c>
      <c r="B136" s="16" t="str">
        <f>IMAGE("https://lmztiles.s3.eu-west-1.amazonaws.com/Modern_Interiors_v41.3.4/1_Interiors/16x16/Theme_Sorter_Singles/22_Museum_Singles/Museum_Singles_137.png")</f>
        <v/>
      </c>
    </row>
    <row r="137" ht="42.0" customHeight="1">
      <c r="A137" s="16" t="s">
        <v>5234</v>
      </c>
      <c r="B137" s="16" t="str">
        <f>IMAGE("https://lmztiles.s3.eu-west-1.amazonaws.com/Modern_Interiors_v41.3.4/1_Interiors/16x16/Theme_Sorter_Singles/22_Museum_Singles/Museum_Singles_138.png")</f>
        <v/>
      </c>
    </row>
    <row r="138" ht="42.0" customHeight="1">
      <c r="A138" s="16" t="s">
        <v>5235</v>
      </c>
      <c r="B138" s="16" t="str">
        <f>IMAGE("https://lmztiles.s3.eu-west-1.amazonaws.com/Modern_Interiors_v41.3.4/1_Interiors/16x16/Theme_Sorter_Singles/22_Museum_Singles/Museum_Singles_139.png")</f>
        <v/>
      </c>
    </row>
    <row r="139" ht="42.0" customHeight="1">
      <c r="A139" s="16" t="s">
        <v>5236</v>
      </c>
      <c r="B139" s="16" t="str">
        <f>IMAGE("https://lmztiles.s3.eu-west-1.amazonaws.com/Modern_Interiors_v41.3.4/1_Interiors/16x16/Theme_Sorter_Singles/22_Museum_Singles/Museum_Singles_140.png")</f>
        <v/>
      </c>
    </row>
    <row r="140" ht="42.0" customHeight="1">
      <c r="A140" s="16" t="s">
        <v>5237</v>
      </c>
      <c r="B140" s="16" t="str">
        <f>IMAGE("https://lmztiles.s3.eu-west-1.amazonaws.com/Modern_Interiors_v41.3.4/1_Interiors/16x16/Theme_Sorter_Singles/22_Museum_Singles/Museum_Singles_141.png")</f>
        <v/>
      </c>
    </row>
    <row r="141" ht="42.0" customHeight="1">
      <c r="A141" s="16" t="s">
        <v>5238</v>
      </c>
      <c r="B141" s="16" t="str">
        <f>IMAGE("https://lmztiles.s3.eu-west-1.amazonaws.com/Modern_Interiors_v41.3.4/1_Interiors/16x16/Theme_Sorter_Singles/22_Museum_Singles/Museum_Singles_142.png")</f>
        <v/>
      </c>
    </row>
    <row r="142" ht="42.0" customHeight="1">
      <c r="A142" s="16" t="s">
        <v>5239</v>
      </c>
      <c r="B142" s="16" t="str">
        <f>IMAGE("https://lmztiles.s3.eu-west-1.amazonaws.com/Modern_Interiors_v41.3.4/1_Interiors/16x16/Theme_Sorter_Singles/22_Museum_Singles/Museum_Singles_143.png")</f>
        <v/>
      </c>
    </row>
    <row r="143" ht="42.0" customHeight="1">
      <c r="A143" s="16" t="s">
        <v>5240</v>
      </c>
      <c r="B143" s="16" t="str">
        <f>IMAGE("https://lmztiles.s3.eu-west-1.amazonaws.com/Modern_Interiors_v41.3.4/1_Interiors/16x16/Theme_Sorter_Singles/22_Museum_Singles/Museum_Singles_144.png")</f>
        <v/>
      </c>
    </row>
    <row r="144" ht="42.0" customHeight="1">
      <c r="A144" s="16" t="s">
        <v>5241</v>
      </c>
      <c r="B144" s="16" t="str">
        <f>IMAGE("https://lmztiles.s3.eu-west-1.amazonaws.com/Modern_Interiors_v41.3.4/1_Interiors/16x16/Theme_Sorter_Singles/22_Museum_Singles/Museum_Singles_145.png")</f>
        <v/>
      </c>
    </row>
    <row r="145" ht="42.0" customHeight="1">
      <c r="A145" s="16" t="s">
        <v>5242</v>
      </c>
      <c r="B145" s="16" t="str">
        <f>IMAGE("https://lmztiles.s3.eu-west-1.amazonaws.com/Modern_Interiors_v41.3.4/1_Interiors/16x16/Theme_Sorter_Singles/22_Museum_Singles/Museum_Singles_146.png")</f>
        <v/>
      </c>
    </row>
    <row r="146" ht="42.0" customHeight="1">
      <c r="A146" s="16" t="s">
        <v>5243</v>
      </c>
      <c r="B146" s="16" t="str">
        <f>IMAGE("https://lmztiles.s3.eu-west-1.amazonaws.com/Modern_Interiors_v41.3.4/1_Interiors/16x16/Theme_Sorter_Singles/22_Museum_Singles/Museum_Singles_147.png")</f>
        <v/>
      </c>
    </row>
    <row r="147" ht="42.0" customHeight="1">
      <c r="A147" s="16" t="s">
        <v>5244</v>
      </c>
      <c r="B147" s="16" t="str">
        <f>IMAGE("https://lmztiles.s3.eu-west-1.amazonaws.com/Modern_Interiors_v41.3.4/1_Interiors/16x16/Theme_Sorter_Singles/22_Museum_Singles/Museum_Singles_148.png")</f>
        <v/>
      </c>
    </row>
    <row r="148" ht="42.0" customHeight="1">
      <c r="A148" s="16" t="s">
        <v>5245</v>
      </c>
      <c r="B148" s="16" t="str">
        <f>IMAGE("https://lmztiles.s3.eu-west-1.amazonaws.com/Modern_Interiors_v41.3.4/1_Interiors/16x16/Theme_Sorter_Singles/22_Museum_Singles/Museum_Singles_149.png")</f>
        <v/>
      </c>
    </row>
    <row r="149" ht="42.0" customHeight="1">
      <c r="A149" s="16" t="s">
        <v>5246</v>
      </c>
      <c r="B149" s="16" t="str">
        <f>IMAGE("https://lmztiles.s3.eu-west-1.amazonaws.com/Modern_Interiors_v41.3.4/1_Interiors/16x16/Theme_Sorter_Singles/22_Museum_Singles/Museum_Singles_150.png")</f>
        <v/>
      </c>
    </row>
    <row r="150" ht="42.0" customHeight="1">
      <c r="A150" s="16" t="s">
        <v>5247</v>
      </c>
      <c r="B150" s="16" t="str">
        <f>IMAGE("https://lmztiles.s3.eu-west-1.amazonaws.com/Modern_Interiors_v41.3.4/1_Interiors/16x16/Theme_Sorter_Singles/22_Museum_Singles/Museum_Singles_151.png")</f>
        <v/>
      </c>
    </row>
    <row r="151" ht="42.0" customHeight="1">
      <c r="A151" s="16" t="s">
        <v>5248</v>
      </c>
      <c r="B151" s="16" t="str">
        <f>IMAGE("https://lmztiles.s3.eu-west-1.amazonaws.com/Modern_Interiors_v41.3.4/1_Interiors/16x16/Theme_Sorter_Singles/22_Museum_Singles/Museum_Singles_152.png")</f>
        <v/>
      </c>
    </row>
    <row r="152" ht="42.0" customHeight="1">
      <c r="A152" s="16" t="s">
        <v>5249</v>
      </c>
      <c r="B152" s="16" t="str">
        <f>IMAGE("https://lmztiles.s3.eu-west-1.amazonaws.com/Modern_Interiors_v41.3.4/1_Interiors/16x16/Theme_Sorter_Singles/22_Museum_Singles/Museum_Singles_153.png")</f>
        <v/>
      </c>
    </row>
    <row r="153" ht="42.0" customHeight="1">
      <c r="A153" s="16" t="s">
        <v>5250</v>
      </c>
      <c r="B153" s="16" t="str">
        <f>IMAGE("https://lmztiles.s3.eu-west-1.amazonaws.com/Modern_Interiors_v41.3.4/1_Interiors/16x16/Theme_Sorter_Singles/22_Museum_Singles/Museum_Singles_154.png")</f>
        <v/>
      </c>
    </row>
    <row r="154" ht="42.0" customHeight="1">
      <c r="A154" s="16" t="s">
        <v>5251</v>
      </c>
      <c r="B154" s="16" t="str">
        <f>IMAGE("https://lmztiles.s3.eu-west-1.amazonaws.com/Modern_Interiors_v41.3.4/1_Interiors/16x16/Theme_Sorter_Singles/22_Museum_Singles/Museum_Singles_155.png")</f>
        <v/>
      </c>
    </row>
    <row r="155" ht="42.0" customHeight="1">
      <c r="A155" s="16" t="s">
        <v>5252</v>
      </c>
      <c r="B155" s="16" t="str">
        <f>IMAGE("https://lmztiles.s3.eu-west-1.amazonaws.com/Modern_Interiors_v41.3.4/1_Interiors/16x16/Theme_Sorter_Singles/22_Museum_Singles/Museum_Singles_156.png")</f>
        <v/>
      </c>
    </row>
    <row r="156" ht="42.0" customHeight="1">
      <c r="A156" s="16" t="s">
        <v>5253</v>
      </c>
      <c r="B156" s="16" t="str">
        <f>IMAGE("https://lmztiles.s3.eu-west-1.amazonaws.com/Modern_Interiors_v41.3.4/1_Interiors/16x16/Theme_Sorter_Singles/22_Museum_Singles/Museum_Singles_157.png")</f>
        <v/>
      </c>
    </row>
    <row r="157" ht="42.0" customHeight="1">
      <c r="A157" s="16" t="s">
        <v>5254</v>
      </c>
      <c r="B157" s="16" t="str">
        <f>IMAGE("https://lmztiles.s3.eu-west-1.amazonaws.com/Modern_Interiors_v41.3.4/1_Interiors/16x16/Theme_Sorter_Singles/22_Museum_Singles/Museum_Singles_158.png")</f>
        <v/>
      </c>
    </row>
    <row r="158" ht="42.0" customHeight="1">
      <c r="A158" s="16" t="s">
        <v>5255</v>
      </c>
      <c r="B158" s="16" t="str">
        <f>IMAGE("https://lmztiles.s3.eu-west-1.amazonaws.com/Modern_Interiors_v41.3.4/1_Interiors/16x16/Theme_Sorter_Singles/22_Museum_Singles/Museum_Singles_159.png")</f>
        <v/>
      </c>
    </row>
    <row r="159" ht="42.0" customHeight="1">
      <c r="A159" s="16" t="s">
        <v>5256</v>
      </c>
      <c r="B159" s="16" t="str">
        <f>IMAGE("https://lmztiles.s3.eu-west-1.amazonaws.com/Modern_Interiors_v41.3.4/1_Interiors/16x16/Theme_Sorter_Singles/22_Museum_Singles/Museum_Singles_160.png")</f>
        <v/>
      </c>
    </row>
    <row r="160" ht="42.0" customHeight="1">
      <c r="A160" s="16" t="s">
        <v>5257</v>
      </c>
      <c r="B160" s="16" t="str">
        <f>IMAGE("https://lmztiles.s3.eu-west-1.amazonaws.com/Modern_Interiors_v41.3.4/1_Interiors/16x16/Theme_Sorter_Singles/22_Museum_Singles/Museum_Singles_161.png")</f>
        <v/>
      </c>
    </row>
    <row r="161" ht="42.0" customHeight="1">
      <c r="A161" s="16" t="s">
        <v>5258</v>
      </c>
      <c r="B161" s="16" t="str">
        <f>IMAGE("https://lmztiles.s3.eu-west-1.amazonaws.com/Modern_Interiors_v41.3.4/1_Interiors/16x16/Theme_Sorter_Singles/22_Museum_Singles/Museum_Singles_162.png")</f>
        <v/>
      </c>
    </row>
    <row r="162" ht="42.0" customHeight="1">
      <c r="A162" s="16" t="s">
        <v>5259</v>
      </c>
      <c r="B162" s="16" t="str">
        <f>IMAGE("https://lmztiles.s3.eu-west-1.amazonaws.com/Modern_Interiors_v41.3.4/1_Interiors/16x16/Theme_Sorter_Singles/22_Museum_Singles/Museum_Singles_163.png")</f>
        <v/>
      </c>
    </row>
    <row r="163" ht="42.0" customHeight="1">
      <c r="A163" s="16" t="s">
        <v>5260</v>
      </c>
      <c r="B163" s="16" t="str">
        <f>IMAGE("https://lmztiles.s3.eu-west-1.amazonaws.com/Modern_Interiors_v41.3.4/1_Interiors/16x16/Theme_Sorter_Singles/22_Museum_Singles/Museum_Singles_164.png")</f>
        <v/>
      </c>
    </row>
    <row r="164" ht="42.0" customHeight="1">
      <c r="A164" s="16" t="s">
        <v>5261</v>
      </c>
      <c r="B164" s="16" t="str">
        <f>IMAGE("https://lmztiles.s3.eu-west-1.amazonaws.com/Modern_Interiors_v41.3.4/1_Interiors/16x16/Theme_Sorter_Singles/22_Museum_Singles/Museum_Singles_165.png")</f>
        <v/>
      </c>
    </row>
    <row r="165" ht="42.0" customHeight="1">
      <c r="A165" s="16" t="s">
        <v>5262</v>
      </c>
      <c r="B165" s="16" t="str">
        <f>IMAGE("https://lmztiles.s3.eu-west-1.amazonaws.com/Modern_Interiors_v41.3.4/1_Interiors/16x16/Theme_Sorter_Singles/22_Museum_Singles/Museum_Singles_166.png")</f>
        <v/>
      </c>
    </row>
    <row r="166" ht="42.0" customHeight="1">
      <c r="A166" s="16" t="s">
        <v>5263</v>
      </c>
      <c r="B166" s="16" t="str">
        <f>IMAGE("https://lmztiles.s3.eu-west-1.amazonaws.com/Modern_Interiors_v41.3.4/1_Interiors/16x16/Theme_Sorter_Singles/22_Museum_Singles/Museum_Singles_167.png")</f>
        <v/>
      </c>
    </row>
    <row r="167" ht="42.0" customHeight="1">
      <c r="A167" s="16" t="s">
        <v>5264</v>
      </c>
      <c r="B167" s="16" t="str">
        <f>IMAGE("https://lmztiles.s3.eu-west-1.amazonaws.com/Modern_Interiors_v41.3.4/1_Interiors/16x16/Theme_Sorter_Singles/22_Museum_Singles/Museum_Singles_168.png")</f>
        <v/>
      </c>
    </row>
    <row r="168" ht="42.0" customHeight="1">
      <c r="A168" s="16" t="s">
        <v>5265</v>
      </c>
      <c r="B168" s="16" t="str">
        <f>IMAGE("https://lmztiles.s3.eu-west-1.amazonaws.com/Modern_Interiors_v41.3.4/1_Interiors/16x16/Theme_Sorter_Singles/22_Museum_Singles/Museum_Singles_169.png")</f>
        <v/>
      </c>
    </row>
    <row r="169" ht="42.0" customHeight="1">
      <c r="A169" s="16" t="s">
        <v>5266</v>
      </c>
      <c r="B169" s="16" t="str">
        <f>IMAGE("https://lmztiles.s3.eu-west-1.amazonaws.com/Modern_Interiors_v41.3.4/1_Interiors/16x16/Theme_Sorter_Singles/22_Museum_Singles/Museum_Singles_170.png")</f>
        <v/>
      </c>
    </row>
    <row r="170" ht="42.0" customHeight="1">
      <c r="A170" s="16" t="s">
        <v>5267</v>
      </c>
      <c r="B170" s="16" t="str">
        <f>IMAGE("https://lmztiles.s3.eu-west-1.amazonaws.com/Modern_Interiors_v41.3.4/1_Interiors/16x16/Theme_Sorter_Singles/22_Museum_Singles/Museum_Singles_171.png")</f>
        <v/>
      </c>
    </row>
    <row r="171" ht="42.0" customHeight="1">
      <c r="A171" s="16" t="s">
        <v>5268</v>
      </c>
      <c r="B171" s="16" t="str">
        <f>IMAGE("https://lmztiles.s3.eu-west-1.amazonaws.com/Modern_Interiors_v41.3.4/1_Interiors/16x16/Theme_Sorter_Singles/22_Museum_Singles/Museum_Singles_172.png")</f>
        <v/>
      </c>
    </row>
    <row r="172" ht="42.0" customHeight="1">
      <c r="A172" s="16" t="s">
        <v>5269</v>
      </c>
      <c r="B172" s="16" t="str">
        <f>IMAGE("https://lmztiles.s3.eu-west-1.amazonaws.com/Modern_Interiors_v41.3.4/1_Interiors/16x16/Theme_Sorter_Singles/22_Museum_Singles/Museum_Singles_173.png")</f>
        <v/>
      </c>
    </row>
    <row r="173" ht="42.0" customHeight="1">
      <c r="A173" s="16" t="s">
        <v>5270</v>
      </c>
      <c r="B173" s="16" t="str">
        <f>IMAGE("https://lmztiles.s3.eu-west-1.amazonaws.com/Modern_Interiors_v41.3.4/1_Interiors/16x16/Theme_Sorter_Singles/22_Museum_Singles/Museum_Singles_174.png")</f>
        <v/>
      </c>
    </row>
    <row r="174" ht="42.0" customHeight="1">
      <c r="A174" s="16" t="s">
        <v>5271</v>
      </c>
      <c r="B174" s="16" t="str">
        <f>IMAGE("https://lmztiles.s3.eu-west-1.amazonaws.com/Modern_Interiors_v41.3.4/1_Interiors/16x16/Theme_Sorter_Singles/22_Museum_Singles/Museum_Singles_175.png")</f>
        <v/>
      </c>
    </row>
    <row r="175" ht="42.0" customHeight="1">
      <c r="A175" s="16" t="s">
        <v>5272</v>
      </c>
      <c r="B175" s="16" t="str">
        <f>IMAGE("https://lmztiles.s3.eu-west-1.amazonaws.com/Modern_Interiors_v41.3.4/1_Interiors/16x16/Theme_Sorter_Singles/22_Museum_Singles/Museum_Singles_176.png")</f>
        <v/>
      </c>
    </row>
    <row r="176" ht="42.0" customHeight="1">
      <c r="A176" s="16" t="s">
        <v>5273</v>
      </c>
      <c r="B176" s="16" t="str">
        <f>IMAGE("https://lmztiles.s3.eu-west-1.amazonaws.com/Modern_Interiors_v41.3.4/1_Interiors/16x16/Theme_Sorter_Singles/22_Museum_Singles/Museum_Singles_177.png")</f>
        <v/>
      </c>
    </row>
    <row r="177" ht="42.0" customHeight="1">
      <c r="A177" s="16" t="s">
        <v>5274</v>
      </c>
      <c r="B177" s="16" t="str">
        <f>IMAGE("https://lmztiles.s3.eu-west-1.amazonaws.com/Modern_Interiors_v41.3.4/1_Interiors/16x16/Theme_Sorter_Singles/22_Museum_Singles/Museum_Singles_178.png")</f>
        <v/>
      </c>
    </row>
    <row r="178" ht="42.0" customHeight="1">
      <c r="A178" s="16" t="s">
        <v>5275</v>
      </c>
      <c r="B178" s="16" t="str">
        <f>IMAGE("https://lmztiles.s3.eu-west-1.amazonaws.com/Modern_Interiors_v41.3.4/1_Interiors/16x16/Theme_Sorter_Singles/22_Museum_Singles/Museum_Singles_179.png")</f>
        <v/>
      </c>
    </row>
    <row r="179" ht="42.0" customHeight="1">
      <c r="A179" s="16" t="s">
        <v>5276</v>
      </c>
      <c r="B179" s="16" t="str">
        <f>IMAGE("https://lmztiles.s3.eu-west-1.amazonaws.com/Modern_Interiors_v41.3.4/1_Interiors/16x16/Theme_Sorter_Singles/22_Museum_Singles/Museum_Singles_180.png")</f>
        <v/>
      </c>
    </row>
    <row r="180" ht="42.0" customHeight="1">
      <c r="A180" s="16" t="s">
        <v>5277</v>
      </c>
      <c r="B180" s="16" t="str">
        <f>IMAGE("https://lmztiles.s3.eu-west-1.amazonaws.com/Modern_Interiors_v41.3.4/1_Interiors/16x16/Theme_Sorter_Singles/22_Museum_Singles/Museum_Singles_181.png")</f>
        <v/>
      </c>
    </row>
    <row r="181" ht="42.0" customHeight="1">
      <c r="A181" s="16" t="s">
        <v>5278</v>
      </c>
      <c r="B181" s="16" t="str">
        <f>IMAGE("https://lmztiles.s3.eu-west-1.amazonaws.com/Modern_Interiors_v41.3.4/1_Interiors/16x16/Theme_Sorter_Singles/22_Museum_Singles/Museum_Singles_182.png")</f>
        <v/>
      </c>
    </row>
    <row r="182" ht="42.0" customHeight="1">
      <c r="A182" s="16" t="s">
        <v>5279</v>
      </c>
      <c r="B182" s="16" t="str">
        <f>IMAGE("https://lmztiles.s3.eu-west-1.amazonaws.com/Modern_Interiors_v41.3.4/1_Interiors/16x16/Theme_Sorter_Singles/22_Museum_Singles/Museum_Singles_183.png")</f>
        <v/>
      </c>
    </row>
    <row r="183" ht="42.0" customHeight="1">
      <c r="A183" s="16" t="s">
        <v>5280</v>
      </c>
      <c r="B183" s="16" t="str">
        <f>IMAGE("https://lmztiles.s3.eu-west-1.amazonaws.com/Modern_Interiors_v41.3.4/1_Interiors/16x16/Theme_Sorter_Singles/22_Museum_Singles/Museum_Singles_184.png")</f>
        <v/>
      </c>
    </row>
    <row r="184" ht="42.0" customHeight="1">
      <c r="A184" s="16" t="s">
        <v>5281</v>
      </c>
      <c r="B184" s="16" t="str">
        <f>IMAGE("https://lmztiles.s3.eu-west-1.amazonaws.com/Modern_Interiors_v41.3.4/1_Interiors/16x16/Theme_Sorter_Singles/22_Museum_Singles/Museum_Singles_185.png")</f>
        <v/>
      </c>
    </row>
    <row r="185" ht="42.0" customHeight="1">
      <c r="A185" s="16" t="s">
        <v>5282</v>
      </c>
      <c r="B185" s="16" t="str">
        <f>IMAGE("https://lmztiles.s3.eu-west-1.amazonaws.com/Modern_Interiors_v41.3.4/1_Interiors/16x16/Theme_Sorter_Singles/22_Museum_Singles/Museum_Singles_186.png")</f>
        <v/>
      </c>
    </row>
    <row r="186" ht="42.0" customHeight="1">
      <c r="A186" s="16" t="s">
        <v>5283</v>
      </c>
      <c r="B186" s="16" t="str">
        <f>IMAGE("https://lmztiles.s3.eu-west-1.amazonaws.com/Modern_Interiors_v41.3.4/1_Interiors/16x16/Theme_Sorter_Singles/22_Museum_Singles/Museum_Singles_187.png")</f>
        <v/>
      </c>
    </row>
    <row r="187" ht="42.0" customHeight="1">
      <c r="A187" s="16" t="s">
        <v>5284</v>
      </c>
      <c r="B187" s="16" t="str">
        <f>IMAGE("https://lmztiles.s3.eu-west-1.amazonaws.com/Modern_Interiors_v41.3.4/1_Interiors/16x16/Theme_Sorter_Singles/22_Museum_Singles/Museum_Singles_188.png")</f>
        <v/>
      </c>
    </row>
    <row r="188" ht="42.0" customHeight="1">
      <c r="A188" s="16" t="s">
        <v>5285</v>
      </c>
      <c r="B188" s="16" t="str">
        <f>IMAGE("https://lmztiles.s3.eu-west-1.amazonaws.com/Modern_Interiors_v41.3.4/1_Interiors/16x16/Theme_Sorter_Singles/22_Museum_Singles/Museum_Singles_189.png")</f>
        <v/>
      </c>
    </row>
    <row r="189" ht="42.0" customHeight="1">
      <c r="A189" s="16" t="s">
        <v>5286</v>
      </c>
      <c r="B189" s="16" t="str">
        <f>IMAGE("https://lmztiles.s3.eu-west-1.amazonaws.com/Modern_Interiors_v41.3.4/1_Interiors/16x16/Theme_Sorter_Singles/22_Museum_Singles/Museum_Singles_190.png")</f>
        <v/>
      </c>
    </row>
    <row r="190" ht="42.0" customHeight="1">
      <c r="A190" s="16" t="s">
        <v>5287</v>
      </c>
      <c r="B190" s="16" t="str">
        <f>IMAGE("https://lmztiles.s3.eu-west-1.amazonaws.com/Modern_Interiors_v41.3.4/1_Interiors/16x16/Theme_Sorter_Singles/22_Museum_Singles/Museum_Singles_191.png")</f>
        <v/>
      </c>
    </row>
    <row r="191" ht="42.0" customHeight="1">
      <c r="A191" s="16" t="s">
        <v>5288</v>
      </c>
      <c r="B191" s="16" t="str">
        <f>IMAGE("https://lmztiles.s3.eu-west-1.amazonaws.com/Modern_Interiors_v41.3.4/1_Interiors/16x16/Theme_Sorter_Singles/22_Museum_Singles/Museum_Singles_192.png")</f>
        <v/>
      </c>
    </row>
    <row r="192" ht="42.0" customHeight="1">
      <c r="A192" s="16" t="s">
        <v>5289</v>
      </c>
      <c r="B192" s="16" t="str">
        <f>IMAGE("https://lmztiles.s3.eu-west-1.amazonaws.com/Modern_Interiors_v41.3.4/1_Interiors/16x16/Theme_Sorter_Singles/22_Museum_Singles/Museum_Singles_193.png")</f>
        <v/>
      </c>
    </row>
    <row r="193" ht="42.0" customHeight="1">
      <c r="A193" s="16" t="s">
        <v>5290</v>
      </c>
      <c r="B193" s="16" t="str">
        <f>IMAGE("https://lmztiles.s3.eu-west-1.amazonaws.com/Modern_Interiors_v41.3.4/1_Interiors/16x16/Theme_Sorter_Singles/22_Museum_Singles/Museum_Singles_194.png")</f>
        <v/>
      </c>
    </row>
    <row r="194" ht="42.0" customHeight="1">
      <c r="A194" s="16" t="s">
        <v>5291</v>
      </c>
      <c r="B194" s="16" t="str">
        <f>IMAGE("https://lmztiles.s3.eu-west-1.amazonaws.com/Modern_Interiors_v41.3.4/1_Interiors/16x16/Theme_Sorter_Singles/22_Museum_Singles/Museum_Singles_195.png")</f>
        <v/>
      </c>
    </row>
    <row r="195" ht="42.0" customHeight="1">
      <c r="A195" s="16" t="s">
        <v>5292</v>
      </c>
      <c r="B195" s="16" t="str">
        <f>IMAGE("https://lmztiles.s3.eu-west-1.amazonaws.com/Modern_Interiors_v41.3.4/1_Interiors/16x16/Theme_Sorter_Singles/22_Museum_Singles/Museum_Singles_196.png")</f>
        <v/>
      </c>
    </row>
    <row r="196" ht="42.0" customHeight="1">
      <c r="A196" s="16" t="s">
        <v>5293</v>
      </c>
      <c r="B196" s="16" t="str">
        <f>IMAGE("https://lmztiles.s3.eu-west-1.amazonaws.com/Modern_Interiors_v41.3.4/1_Interiors/16x16/Theme_Sorter_Singles/22_Museum_Singles/Museum_Singles_197.png")</f>
        <v/>
      </c>
    </row>
    <row r="197" ht="42.0" customHeight="1">
      <c r="A197" s="16" t="s">
        <v>5294</v>
      </c>
      <c r="B197" s="16" t="str">
        <f>IMAGE("https://lmztiles.s3.eu-west-1.amazonaws.com/Modern_Interiors_v41.3.4/1_Interiors/16x16/Theme_Sorter_Singles/22_Museum_Singles/Museum_Singles_198.png")</f>
        <v/>
      </c>
    </row>
    <row r="198" ht="42.0" customHeight="1">
      <c r="A198" s="16" t="s">
        <v>5295</v>
      </c>
      <c r="B198" s="16" t="str">
        <f>IMAGE("https://lmztiles.s3.eu-west-1.amazonaws.com/Modern_Interiors_v41.3.4/1_Interiors/16x16/Theme_Sorter_Singles/22_Museum_Singles/Museum_Singles_199.png")</f>
        <v/>
      </c>
    </row>
    <row r="199" ht="42.0" customHeight="1">
      <c r="A199" s="16" t="s">
        <v>5296</v>
      </c>
      <c r="B199" s="16" t="str">
        <f>IMAGE("https://lmztiles.s3.eu-west-1.amazonaws.com/Modern_Interiors_v41.3.4/1_Interiors/16x16/Theme_Sorter_Singles/22_Museum_Singles/Museum_Singles_200.png")</f>
        <v/>
      </c>
    </row>
    <row r="200" ht="42.0" customHeight="1">
      <c r="A200" s="16" t="s">
        <v>5297</v>
      </c>
      <c r="B200" s="16" t="str">
        <f>IMAGE("https://lmztiles.s3.eu-west-1.amazonaws.com/Modern_Interiors_v41.3.4/1_Interiors/16x16/Theme_Sorter_Singles/22_Museum_Singles/Museum_Singles_201.png")</f>
        <v/>
      </c>
    </row>
    <row r="201" ht="42.0" customHeight="1">
      <c r="A201" s="16" t="s">
        <v>5298</v>
      </c>
      <c r="B201" s="16" t="str">
        <f>IMAGE("https://lmztiles.s3.eu-west-1.amazonaws.com/Modern_Interiors_v41.3.4/1_Interiors/16x16/Theme_Sorter_Singles/22_Museum_Singles/Museum_Singles_202.png")</f>
        <v/>
      </c>
    </row>
    <row r="202" ht="42.0" customHeight="1">
      <c r="A202" s="16" t="s">
        <v>5299</v>
      </c>
      <c r="B202" s="16" t="str">
        <f>IMAGE("https://lmztiles.s3.eu-west-1.amazonaws.com/Modern_Interiors_v41.3.4/1_Interiors/16x16/Theme_Sorter_Singles/22_Museum_Singles/Museum_Singles_203.png")</f>
        <v/>
      </c>
    </row>
    <row r="203" ht="42.0" customHeight="1">
      <c r="A203" s="16" t="s">
        <v>5300</v>
      </c>
      <c r="B203" s="16" t="str">
        <f>IMAGE("https://lmztiles.s3.eu-west-1.amazonaws.com/Modern_Interiors_v41.3.4/1_Interiors/16x16/Theme_Sorter_Singles/22_Museum_Singles/Museum_Singles_204.png")</f>
        <v/>
      </c>
    </row>
    <row r="204" ht="42.0" customHeight="1">
      <c r="A204" s="16" t="s">
        <v>5301</v>
      </c>
      <c r="B204" s="16" t="str">
        <f>IMAGE("https://lmztiles.s3.eu-west-1.amazonaws.com/Modern_Interiors_v41.3.4/1_Interiors/16x16/Theme_Sorter_Singles/22_Museum_Singles/Museum_Singles_205.png")</f>
        <v/>
      </c>
    </row>
    <row r="205" ht="42.0" customHeight="1">
      <c r="A205" s="16" t="s">
        <v>5302</v>
      </c>
      <c r="B205" s="16" t="str">
        <f>IMAGE("https://lmztiles.s3.eu-west-1.amazonaws.com/Modern_Interiors_v41.3.4/1_Interiors/16x16/Theme_Sorter_Singles/22_Museum_Singles/Museum_Singles_206.png")</f>
        <v/>
      </c>
    </row>
    <row r="206" ht="42.0" customHeight="1">
      <c r="A206" s="16" t="s">
        <v>5303</v>
      </c>
      <c r="B206" s="16" t="str">
        <f>IMAGE("https://lmztiles.s3.eu-west-1.amazonaws.com/Modern_Interiors_v41.3.4/1_Interiors/16x16/Theme_Sorter_Singles/22_Museum_Singles/Museum_Singles_207.png")</f>
        <v/>
      </c>
    </row>
    <row r="207" ht="42.0" customHeight="1">
      <c r="A207" s="16" t="s">
        <v>5304</v>
      </c>
      <c r="B207" s="16" t="str">
        <f>IMAGE("https://lmztiles.s3.eu-west-1.amazonaws.com/Modern_Interiors_v41.3.4/1_Interiors/16x16/Theme_Sorter_Singles/22_Museum_Singles/Museum_Singles_208.png")</f>
        <v/>
      </c>
    </row>
    <row r="208" ht="42.0" customHeight="1">
      <c r="A208" s="16" t="s">
        <v>5305</v>
      </c>
      <c r="B208" s="16" t="str">
        <f>IMAGE("https://lmztiles.s3.eu-west-1.amazonaws.com/Modern_Interiors_v41.3.4/1_Interiors/16x16/Theme_Sorter_Singles/22_Museum_Singles/Museum_Singles_209.png")</f>
        <v/>
      </c>
    </row>
    <row r="209" ht="42.0" customHeight="1">
      <c r="A209" s="16" t="s">
        <v>5306</v>
      </c>
      <c r="B209" s="16" t="str">
        <f>IMAGE("https://lmztiles.s3.eu-west-1.amazonaws.com/Modern_Interiors_v41.3.4/1_Interiors/16x16/Theme_Sorter_Singles/22_Museum_Singles/Museum_Singles_210.png")</f>
        <v/>
      </c>
    </row>
    <row r="210" ht="42.0" customHeight="1">
      <c r="A210" s="16" t="s">
        <v>5307</v>
      </c>
      <c r="B210" s="16" t="str">
        <f>IMAGE("https://lmztiles.s3.eu-west-1.amazonaws.com/Modern_Interiors_v41.3.4/1_Interiors/16x16/Theme_Sorter_Singles/22_Museum_Singles/Museum_Singles_211.png")</f>
        <v/>
      </c>
    </row>
    <row r="211" ht="42.0" customHeight="1">
      <c r="A211" s="16" t="s">
        <v>5308</v>
      </c>
      <c r="B211" s="16" t="str">
        <f>IMAGE("https://lmztiles.s3.eu-west-1.amazonaws.com/Modern_Interiors_v41.3.4/1_Interiors/16x16/Theme_Sorter_Singles/22_Museum_Singles/Museum_Singles_212.png")</f>
        <v/>
      </c>
    </row>
    <row r="212" ht="42.0" customHeight="1">
      <c r="A212" s="16" t="s">
        <v>5309</v>
      </c>
      <c r="B212" s="16" t="str">
        <f>IMAGE("https://lmztiles.s3.eu-west-1.amazonaws.com/Modern_Interiors_v41.3.4/1_Interiors/16x16/Theme_Sorter_Singles/22_Museum_Singles/Museum_Singles_213.png")</f>
        <v/>
      </c>
    </row>
    <row r="213" ht="42.0" customHeight="1">
      <c r="A213" s="16" t="s">
        <v>5310</v>
      </c>
      <c r="B213" s="16" t="str">
        <f>IMAGE("https://lmztiles.s3.eu-west-1.amazonaws.com/Modern_Interiors_v41.3.4/1_Interiors/16x16/Theme_Sorter_Singles/22_Museum_Singles/Museum_Singles_214.png")</f>
        <v/>
      </c>
    </row>
    <row r="214" ht="42.0" customHeight="1">
      <c r="A214" s="16" t="s">
        <v>5311</v>
      </c>
      <c r="B214" s="16" t="str">
        <f>IMAGE("https://lmztiles.s3.eu-west-1.amazonaws.com/Modern_Interiors_v41.3.4/1_Interiors/16x16/Theme_Sorter_Singles/22_Museum_Singles/Museum_Singles_215.png")</f>
        <v/>
      </c>
    </row>
    <row r="215" ht="42.0" customHeight="1">
      <c r="A215" s="16" t="s">
        <v>5312</v>
      </c>
      <c r="B215" s="16" t="str">
        <f>IMAGE("https://lmztiles.s3.eu-west-1.amazonaws.com/Modern_Interiors_v41.3.4/1_Interiors/16x16/Theme_Sorter_Singles/22_Museum_Singles/Museum_Singles_216.png")</f>
        <v/>
      </c>
    </row>
    <row r="216" ht="42.0" customHeight="1">
      <c r="A216" s="16" t="s">
        <v>5313</v>
      </c>
      <c r="B216" s="16" t="str">
        <f>IMAGE("https://lmztiles.s3.eu-west-1.amazonaws.com/Modern_Interiors_v41.3.4/1_Interiors/16x16/Theme_Sorter_Singles/22_Museum_Singles/Museum_Singles_217.png")</f>
        <v/>
      </c>
    </row>
    <row r="217" ht="42.0" customHeight="1">
      <c r="A217" s="16" t="s">
        <v>5314</v>
      </c>
      <c r="B217" s="16" t="str">
        <f>IMAGE("https://lmztiles.s3.eu-west-1.amazonaws.com/Modern_Interiors_v41.3.4/1_Interiors/16x16/Theme_Sorter_Singles/22_Museum_Singles/Museum_Singles_218.png")</f>
        <v/>
      </c>
    </row>
    <row r="218" ht="42.0" customHeight="1">
      <c r="A218" s="16" t="s">
        <v>5315</v>
      </c>
      <c r="B218" s="16" t="str">
        <f>IMAGE("https://lmztiles.s3.eu-west-1.amazonaws.com/Modern_Interiors_v41.3.4/1_Interiors/16x16/Theme_Sorter_Singles/22_Museum_Singles/Museum_Singles_219.png")</f>
        <v/>
      </c>
    </row>
    <row r="219" ht="42.0" customHeight="1">
      <c r="A219" s="16" t="s">
        <v>5316</v>
      </c>
      <c r="B219" s="16" t="str">
        <f>IMAGE("https://lmztiles.s3.eu-west-1.amazonaws.com/Modern_Interiors_v41.3.4/1_Interiors/16x16/Theme_Sorter_Singles/22_Museum_Singles/Museum_Singles_220.png")</f>
        <v/>
      </c>
    </row>
    <row r="220" ht="42.0" customHeight="1">
      <c r="A220" s="16" t="s">
        <v>5317</v>
      </c>
      <c r="B220" s="16" t="str">
        <f>IMAGE("https://lmztiles.s3.eu-west-1.amazonaws.com/Modern_Interiors_v41.3.4/1_Interiors/16x16/Theme_Sorter_Singles/22_Museum_Singles/Museum_Singles_221.png")</f>
        <v/>
      </c>
    </row>
    <row r="221" ht="42.0" customHeight="1">
      <c r="A221" s="16" t="s">
        <v>5318</v>
      </c>
      <c r="B221" s="16" t="str">
        <f>IMAGE("https://lmztiles.s3.eu-west-1.amazonaws.com/Modern_Interiors_v41.3.4/1_Interiors/16x16/Theme_Sorter_Singles/22_Museum_Singles/Museum_Singles_222.png")</f>
        <v/>
      </c>
    </row>
    <row r="222" ht="42.0" customHeight="1">
      <c r="A222" s="16" t="s">
        <v>5319</v>
      </c>
      <c r="B222" s="16" t="str">
        <f>IMAGE("https://lmztiles.s3.eu-west-1.amazonaws.com/Modern_Interiors_v41.3.4/1_Interiors/16x16/Theme_Sorter_Singles/22_Museum_Singles/Museum_Singles_223.png")</f>
        <v/>
      </c>
    </row>
    <row r="223" ht="42.0" customHeight="1">
      <c r="A223" s="16" t="s">
        <v>5320</v>
      </c>
      <c r="B223" s="16" t="str">
        <f>IMAGE("https://lmztiles.s3.eu-west-1.amazonaws.com/Modern_Interiors_v41.3.4/1_Interiors/16x16/Theme_Sorter_Singles/22_Museum_Singles/Museum_Singles_224.png")</f>
        <v/>
      </c>
    </row>
    <row r="224" ht="42.0" customHeight="1">
      <c r="A224" s="16" t="s">
        <v>5321</v>
      </c>
      <c r="B224" s="16" t="str">
        <f>IMAGE("https://lmztiles.s3.eu-west-1.amazonaws.com/Modern_Interiors_v41.3.4/1_Interiors/16x16/Theme_Sorter_Singles/22_Museum_Singles/Museum_Singles_225.png")</f>
        <v/>
      </c>
    </row>
    <row r="225" ht="42.0" customHeight="1">
      <c r="A225" s="16" t="s">
        <v>5322</v>
      </c>
      <c r="B225" s="16" t="str">
        <f>IMAGE("https://lmztiles.s3.eu-west-1.amazonaws.com/Modern_Interiors_v41.3.4/1_Interiors/16x16/Theme_Sorter_Singles/22_Museum_Singles/Museum_Singles_226.png")</f>
        <v/>
      </c>
    </row>
    <row r="226" ht="42.0" customHeight="1">
      <c r="A226" s="16" t="s">
        <v>5323</v>
      </c>
      <c r="B226" s="16" t="str">
        <f>IMAGE("https://lmztiles.s3.eu-west-1.amazonaws.com/Modern_Interiors_v41.3.4/1_Interiors/16x16/Theme_Sorter_Singles/22_Museum_Singles/Museum_Singles_227.png")</f>
        <v/>
      </c>
    </row>
    <row r="227" ht="42.0" customHeight="1">
      <c r="A227" s="16" t="s">
        <v>5324</v>
      </c>
      <c r="B227" s="16" t="str">
        <f>IMAGE("https://lmztiles.s3.eu-west-1.amazonaws.com/Modern_Interiors_v41.3.4/1_Interiors/16x16/Theme_Sorter_Singles/22_Museum_Singles/Museum_Singles_228.png")</f>
        <v/>
      </c>
    </row>
    <row r="228" ht="42.0" customHeight="1">
      <c r="A228" s="16" t="s">
        <v>5325</v>
      </c>
      <c r="B228" s="16" t="str">
        <f>IMAGE("https://lmztiles.s3.eu-west-1.amazonaws.com/Modern_Interiors_v41.3.4/1_Interiors/16x16/Theme_Sorter_Singles/22_Museum_Singles/Museum_Singles_229.png")</f>
        <v/>
      </c>
    </row>
    <row r="229" ht="42.0" customHeight="1">
      <c r="A229" s="16" t="s">
        <v>5326</v>
      </c>
      <c r="B229" s="16" t="str">
        <f>IMAGE("https://lmztiles.s3.eu-west-1.amazonaws.com/Modern_Interiors_v41.3.4/1_Interiors/16x16/Theme_Sorter_Singles/22_Museum_Singles/Museum_Singles_230.png")</f>
        <v/>
      </c>
    </row>
    <row r="230" ht="42.0" customHeight="1">
      <c r="A230" s="16" t="s">
        <v>5327</v>
      </c>
      <c r="B230" s="16" t="str">
        <f>IMAGE("https://lmztiles.s3.eu-west-1.amazonaws.com/Modern_Interiors_v41.3.4/1_Interiors/16x16/Theme_Sorter_Singles/22_Museum_Singles/Museum_Singles_231.png")</f>
        <v/>
      </c>
    </row>
    <row r="231" ht="42.0" customHeight="1">
      <c r="A231" s="16" t="s">
        <v>5328</v>
      </c>
      <c r="B231" s="16" t="str">
        <f>IMAGE("https://lmztiles.s3.eu-west-1.amazonaws.com/Modern_Interiors_v41.3.4/1_Interiors/16x16/Theme_Sorter_Singles/22_Museum_Singles/Museum_Singles_232.png")</f>
        <v/>
      </c>
    </row>
    <row r="232" ht="42.0" customHeight="1">
      <c r="A232" s="16" t="s">
        <v>5329</v>
      </c>
      <c r="B232" s="16" t="str">
        <f>IMAGE("https://lmztiles.s3.eu-west-1.amazonaws.com/Modern_Interiors_v41.3.4/1_Interiors/16x16/Theme_Sorter_Singles/22_Museum_Singles/Museum_Singles_233.png")</f>
        <v/>
      </c>
    </row>
    <row r="233" ht="42.0" customHeight="1">
      <c r="A233" s="16" t="s">
        <v>5330</v>
      </c>
      <c r="B233" s="16" t="str">
        <f>IMAGE("https://lmztiles.s3.eu-west-1.amazonaws.com/Modern_Interiors_v41.3.4/1_Interiors/16x16/Theme_Sorter_Singles/22_Museum_Singles/Museum_Singles_234.png")</f>
        <v/>
      </c>
    </row>
    <row r="234" ht="42.0" customHeight="1">
      <c r="A234" s="16" t="s">
        <v>5331</v>
      </c>
      <c r="B234" s="16" t="str">
        <f>IMAGE("https://lmztiles.s3.eu-west-1.amazonaws.com/Modern_Interiors_v41.3.4/1_Interiors/16x16/Theme_Sorter_Singles/22_Museum_Singles/Museum_Singles_235.png")</f>
        <v/>
      </c>
    </row>
    <row r="235" ht="42.0" customHeight="1">
      <c r="A235" s="16" t="s">
        <v>5332</v>
      </c>
      <c r="B235" s="16" t="str">
        <f>IMAGE("https://lmztiles.s3.eu-west-1.amazonaws.com/Modern_Interiors_v41.3.4/1_Interiors/16x16/Theme_Sorter_Singles/22_Museum_Singles/Museum_Singles_236.png")</f>
        <v/>
      </c>
    </row>
    <row r="236" ht="42.0" customHeight="1">
      <c r="A236" s="16" t="s">
        <v>5333</v>
      </c>
      <c r="B236" s="16" t="str">
        <f>IMAGE("https://lmztiles.s3.eu-west-1.amazonaws.com/Modern_Interiors_v41.3.4/1_Interiors/16x16/Theme_Sorter_Singles/22_Museum_Singles/Museum_Singles_237.png")</f>
        <v/>
      </c>
    </row>
    <row r="237" ht="42.0" customHeight="1">
      <c r="A237" s="16" t="s">
        <v>5334</v>
      </c>
      <c r="B237" s="16" t="str">
        <f>IMAGE("https://lmztiles.s3.eu-west-1.amazonaws.com/Modern_Interiors_v41.3.4/1_Interiors/16x16/Theme_Sorter_Singles/22_Museum_Singles/Museum_Singles_238.png")</f>
        <v/>
      </c>
    </row>
    <row r="238" ht="42.0" customHeight="1">
      <c r="A238" s="16" t="s">
        <v>5335</v>
      </c>
      <c r="B238" s="16" t="str">
        <f>IMAGE("https://lmztiles.s3.eu-west-1.amazonaws.com/Modern_Interiors_v41.3.4/1_Interiors/16x16/Theme_Sorter_Singles/22_Museum_Singles/Museum_Singles_239.png")</f>
        <v/>
      </c>
    </row>
    <row r="239" ht="42.0" customHeight="1">
      <c r="A239" s="16" t="s">
        <v>5336</v>
      </c>
      <c r="B239" s="16" t="str">
        <f>IMAGE("https://lmztiles.s3.eu-west-1.amazonaws.com/Modern_Interiors_v41.3.4/1_Interiors/16x16/Theme_Sorter_Singles/22_Museum_Singles/Museum_Singles_240.png")</f>
        <v/>
      </c>
    </row>
    <row r="240" ht="42.0" customHeight="1">
      <c r="A240" s="16" t="s">
        <v>5337</v>
      </c>
      <c r="B240" s="16" t="str">
        <f>IMAGE("https://lmztiles.s3.eu-west-1.amazonaws.com/Modern_Interiors_v41.3.4/1_Interiors/16x16/Theme_Sorter_Singles/22_Museum_Singles/Museum_Singles_241.png")</f>
        <v/>
      </c>
    </row>
    <row r="241" ht="42.0" customHeight="1">
      <c r="A241" s="16" t="s">
        <v>5338</v>
      </c>
      <c r="B241" s="16" t="str">
        <f>IMAGE("https://lmztiles.s3.eu-west-1.amazonaws.com/Modern_Interiors_v41.3.4/1_Interiors/16x16/Theme_Sorter_Singles/22_Museum_Singles/Museum_Singles_242.png")</f>
        <v/>
      </c>
    </row>
    <row r="242" ht="42.0" customHeight="1">
      <c r="A242" s="16" t="s">
        <v>5339</v>
      </c>
      <c r="B242" s="16" t="str">
        <f>IMAGE("https://lmztiles.s3.eu-west-1.amazonaws.com/Modern_Interiors_v41.3.4/1_Interiors/16x16/Theme_Sorter_Singles/22_Museum_Singles/Museum_Singles_243.png")</f>
        <v/>
      </c>
    </row>
    <row r="243" ht="42.0" customHeight="1">
      <c r="A243" s="16" t="s">
        <v>5340</v>
      </c>
      <c r="B243" s="16" t="str">
        <f>IMAGE("https://lmztiles.s3.eu-west-1.amazonaws.com/Modern_Interiors_v41.3.4/1_Interiors/16x16/Theme_Sorter_Singles/22_Museum_Singles/Museum_Singles_244.png")</f>
        <v/>
      </c>
    </row>
    <row r="244" ht="42.0" customHeight="1">
      <c r="A244" s="16" t="s">
        <v>5341</v>
      </c>
      <c r="B244" s="16" t="str">
        <f>IMAGE("https://lmztiles.s3.eu-west-1.amazonaws.com/Modern_Interiors_v41.3.4/1_Interiors/16x16/Theme_Sorter_Singles/22_Museum_Singles/Museum_Singles_245.png")</f>
        <v/>
      </c>
    </row>
    <row r="245" ht="42.0" customHeight="1">
      <c r="A245" s="16" t="s">
        <v>5342</v>
      </c>
      <c r="B245" s="16" t="str">
        <f>IMAGE("https://lmztiles.s3.eu-west-1.amazonaws.com/Modern_Interiors_v41.3.4/1_Interiors/16x16/Theme_Sorter_Singles/22_Museum_Singles/Museum_Singles_246.png")</f>
        <v/>
      </c>
    </row>
    <row r="246" ht="42.0" customHeight="1">
      <c r="A246" s="16" t="s">
        <v>5343</v>
      </c>
      <c r="B246" s="16" t="str">
        <f>IMAGE("https://lmztiles.s3.eu-west-1.amazonaws.com/Modern_Interiors_v41.3.4/1_Interiors/16x16/Theme_Sorter_Singles/22_Museum_Singles/Museum_Singles_247.png")</f>
        <v/>
      </c>
    </row>
    <row r="247" ht="42.0" customHeight="1">
      <c r="A247" s="16" t="s">
        <v>5344</v>
      </c>
      <c r="B247" s="16" t="str">
        <f>IMAGE("https://lmztiles.s3.eu-west-1.amazonaws.com/Modern_Interiors_v41.3.4/1_Interiors/16x16/Theme_Sorter_Singles/22_Museum_Singles/Museum_Singles_248.png")</f>
        <v/>
      </c>
    </row>
    <row r="248" ht="42.0" customHeight="1">
      <c r="A248" s="16" t="s">
        <v>5345</v>
      </c>
      <c r="B248" s="16" t="str">
        <f>IMAGE("https://lmztiles.s3.eu-west-1.amazonaws.com/Modern_Interiors_v41.3.4/1_Interiors/16x16/Theme_Sorter_Singles/22_Museum_Singles/Museum_Singles_249.png")</f>
        <v/>
      </c>
    </row>
    <row r="249" ht="42.0" customHeight="1">
      <c r="A249" s="16" t="s">
        <v>5346</v>
      </c>
      <c r="B249" s="16" t="str">
        <f>IMAGE("https://lmztiles.s3.eu-west-1.amazonaws.com/Modern_Interiors_v41.3.4/1_Interiors/16x16/Theme_Sorter_Singles/22_Museum_Singles/Museum_Singles_250.png")</f>
        <v/>
      </c>
    </row>
    <row r="250" ht="42.0" customHeight="1">
      <c r="A250" s="16" t="s">
        <v>5347</v>
      </c>
      <c r="B250" s="16" t="str">
        <f>IMAGE("https://lmztiles.s3.eu-west-1.amazonaws.com/Modern_Interiors_v41.3.4/1_Interiors/16x16/Theme_Sorter_Singles/22_Museum_Singles/Museum_Singles_251.png")</f>
        <v/>
      </c>
    </row>
    <row r="251" ht="42.0" customHeight="1">
      <c r="A251" s="16" t="s">
        <v>5348</v>
      </c>
      <c r="B251" s="16" t="str">
        <f>IMAGE("https://lmztiles.s3.eu-west-1.amazonaws.com/Modern_Interiors_v41.3.4/1_Interiors/16x16/Theme_Sorter_Singles/22_Museum_Singles/Museum_Singles_252.png")</f>
        <v/>
      </c>
    </row>
    <row r="252" ht="42.0" customHeight="1">
      <c r="A252" s="16" t="s">
        <v>5349</v>
      </c>
      <c r="B252" s="16" t="str">
        <f>IMAGE("https://lmztiles.s3.eu-west-1.amazonaws.com/Modern_Interiors_v41.3.4/1_Interiors/16x16/Theme_Sorter_Singles/22_Museum_Singles/Museum_Singles_253.png")</f>
        <v/>
      </c>
    </row>
    <row r="253" ht="42.0" customHeight="1">
      <c r="A253" s="16" t="s">
        <v>5350</v>
      </c>
      <c r="B253" s="16" t="str">
        <f>IMAGE("https://lmztiles.s3.eu-west-1.amazonaws.com/Modern_Interiors_v41.3.4/1_Interiors/16x16/Theme_Sorter_Singles/22_Museum_Singles/Museum_Singles_254.png")</f>
        <v/>
      </c>
    </row>
    <row r="254" ht="42.0" customHeight="1">
      <c r="A254" s="16" t="s">
        <v>5351</v>
      </c>
      <c r="B254" s="16" t="str">
        <f>IMAGE("https://lmztiles.s3.eu-west-1.amazonaws.com/Modern_Interiors_v41.3.4/1_Interiors/16x16/Theme_Sorter_Singles/22_Museum_Singles/Museum_Singles_255.png")</f>
        <v/>
      </c>
    </row>
    <row r="255" ht="42.0" customHeight="1">
      <c r="A255" s="16" t="s">
        <v>5352</v>
      </c>
      <c r="B255" s="16" t="str">
        <f>IMAGE("https://lmztiles.s3.eu-west-1.amazonaws.com/Modern_Interiors_v41.3.4/1_Interiors/16x16/Theme_Sorter_Singles/22_Museum_Singles/Museum_Singles_256.png")</f>
        <v/>
      </c>
    </row>
    <row r="256" ht="42.0" customHeight="1">
      <c r="A256" s="16" t="s">
        <v>5353</v>
      </c>
      <c r="B256" s="16" t="str">
        <f>IMAGE("https://lmztiles.s3.eu-west-1.amazonaws.com/Modern_Interiors_v41.3.4/1_Interiors/16x16/Theme_Sorter_Singles/22_Museum_Singles/Museum_Singles_257.png")</f>
        <v/>
      </c>
    </row>
    <row r="257" ht="42.0" customHeight="1">
      <c r="A257" s="16" t="s">
        <v>5354</v>
      </c>
      <c r="B257" s="16" t="str">
        <f>IMAGE("https://lmztiles.s3.eu-west-1.amazonaws.com/Modern_Interiors_v41.3.4/1_Interiors/16x16/Theme_Sorter_Singles/22_Museum_Singles/Museum_Singles_258.png")</f>
        <v/>
      </c>
    </row>
    <row r="258" ht="42.0" customHeight="1">
      <c r="A258" s="16" t="s">
        <v>5355</v>
      </c>
      <c r="B258" s="16" t="str">
        <f>IMAGE("https://lmztiles.s3.eu-west-1.amazonaws.com/Modern_Interiors_v41.3.4/1_Interiors/16x16/Theme_Sorter_Singles/22_Museum_Singles/Museum_Singles_259.png")</f>
        <v/>
      </c>
    </row>
    <row r="259" ht="42.0" customHeight="1">
      <c r="A259" s="16" t="s">
        <v>5356</v>
      </c>
      <c r="B259" s="16" t="str">
        <f>IMAGE("https://lmztiles.s3.eu-west-1.amazonaws.com/Modern_Interiors_v41.3.4/1_Interiors/16x16/Theme_Sorter_Singles/22_Museum_Singles/Museum_Singles_260.png")</f>
        <v/>
      </c>
    </row>
    <row r="260" ht="42.0" customHeight="1">
      <c r="A260" s="16" t="s">
        <v>5357</v>
      </c>
      <c r="B260" s="16" t="str">
        <f>IMAGE("https://lmztiles.s3.eu-west-1.amazonaws.com/Modern_Interiors_v41.3.4/1_Interiors/16x16/Theme_Sorter_Singles/22_Museum_Singles/Museum_Singles_261.png")</f>
        <v/>
      </c>
    </row>
    <row r="261" ht="42.0" customHeight="1">
      <c r="A261" s="16" t="s">
        <v>5358</v>
      </c>
      <c r="B261" s="16" t="str">
        <f>IMAGE("https://lmztiles.s3.eu-west-1.amazonaws.com/Modern_Interiors_v41.3.4/1_Interiors/16x16/Theme_Sorter_Singles/22_Museum_Singles/Museum_Singles_262.png")</f>
        <v/>
      </c>
    </row>
    <row r="262" ht="42.0" customHeight="1">
      <c r="A262" s="16" t="s">
        <v>5359</v>
      </c>
      <c r="B262" s="16" t="str">
        <f>IMAGE("https://lmztiles.s3.eu-west-1.amazonaws.com/Modern_Interiors_v41.3.4/1_Interiors/16x16/Theme_Sorter_Singles/22_Museum_Singles/Museum_Singles_263.png")</f>
        <v/>
      </c>
    </row>
    <row r="263" ht="42.0" customHeight="1">
      <c r="A263" s="16" t="s">
        <v>5360</v>
      </c>
      <c r="B263" s="16" t="str">
        <f>IMAGE("https://lmztiles.s3.eu-west-1.amazonaws.com/Modern_Interiors_v41.3.4/1_Interiors/16x16/Theme_Sorter_Singles/22_Museum_Singles/Museum_Singles_264.png")</f>
        <v/>
      </c>
    </row>
    <row r="264" ht="42.0" customHeight="1">
      <c r="A264" s="16" t="s">
        <v>5361</v>
      </c>
      <c r="B264" s="16" t="str">
        <f>IMAGE("https://lmztiles.s3.eu-west-1.amazonaws.com/Modern_Interiors_v41.3.4/1_Interiors/16x16/Theme_Sorter_Singles/22_Museum_Singles/Museum_Singles_265.png")</f>
        <v/>
      </c>
    </row>
    <row r="265" ht="42.0" customHeight="1">
      <c r="A265" s="16" t="s">
        <v>5362</v>
      </c>
      <c r="B265" s="16" t="str">
        <f>IMAGE("https://lmztiles.s3.eu-west-1.amazonaws.com/Modern_Interiors_v41.3.4/1_Interiors/16x16/Theme_Sorter_Singles/22_Museum_Singles/Museum_Singles_266.png")</f>
        <v/>
      </c>
    </row>
    <row r="266" ht="42.0" customHeight="1">
      <c r="A266" s="16" t="s">
        <v>5363</v>
      </c>
      <c r="B266" s="16" t="str">
        <f>IMAGE("https://lmztiles.s3.eu-west-1.amazonaws.com/Modern_Interiors_v41.3.4/1_Interiors/16x16/Theme_Sorter_Singles/22_Museum_Singles/Museum_Singles_267.png")</f>
        <v/>
      </c>
    </row>
    <row r="267" ht="42.0" customHeight="1">
      <c r="A267" s="16" t="s">
        <v>5364</v>
      </c>
      <c r="B267" s="16" t="str">
        <f>IMAGE("https://lmztiles.s3.eu-west-1.amazonaws.com/Modern_Interiors_v41.3.4/1_Interiors/16x16/Theme_Sorter_Singles/22_Museum_Singles/Museum_Singles_268.png")</f>
        <v/>
      </c>
    </row>
    <row r="268" ht="42.0" customHeight="1">
      <c r="A268" s="16" t="s">
        <v>5365</v>
      </c>
      <c r="B268" s="16" t="str">
        <f>IMAGE("https://lmztiles.s3.eu-west-1.amazonaws.com/Modern_Interiors_v41.3.4/1_Interiors/16x16/Theme_Sorter_Singles/22_Museum_Singles/Museum_Singles_269.png")</f>
        <v/>
      </c>
    </row>
    <row r="269" ht="42.0" customHeight="1">
      <c r="A269" s="16" t="s">
        <v>5366</v>
      </c>
      <c r="B269" s="16" t="str">
        <f>IMAGE("https://lmztiles.s3.eu-west-1.amazonaws.com/Modern_Interiors_v41.3.4/1_Interiors/16x16/Theme_Sorter_Singles/22_Museum_Singles/Museum_Singles_270.png")</f>
        <v/>
      </c>
    </row>
    <row r="270" ht="42.0" customHeight="1">
      <c r="A270" s="16" t="s">
        <v>5367</v>
      </c>
      <c r="B270" s="16" t="str">
        <f>IMAGE("https://lmztiles.s3.eu-west-1.amazonaws.com/Modern_Interiors_v41.3.4/1_Interiors/16x16/Theme_Sorter_Singles/22_Museum_Singles/Museum_Singles_271.png")</f>
        <v/>
      </c>
    </row>
    <row r="271" ht="42.0" customHeight="1">
      <c r="A271" s="16" t="s">
        <v>5368</v>
      </c>
      <c r="B271" s="16" t="str">
        <f>IMAGE("https://lmztiles.s3.eu-west-1.amazonaws.com/Modern_Interiors_v41.3.4/1_Interiors/16x16/Theme_Sorter_Singles/22_Museum_Singles/Museum_Singles_272.png")</f>
        <v/>
      </c>
    </row>
    <row r="272" ht="42.0" customHeight="1">
      <c r="A272" s="16" t="s">
        <v>5369</v>
      </c>
      <c r="B272" s="16" t="str">
        <f>IMAGE("https://lmztiles.s3.eu-west-1.amazonaws.com/Modern_Interiors_v41.3.4/1_Interiors/16x16/Theme_Sorter_Singles/22_Museum_Singles/Museum_Singles_273.png")</f>
        <v/>
      </c>
    </row>
    <row r="273" ht="42.0" customHeight="1">
      <c r="A273" s="16" t="s">
        <v>5370</v>
      </c>
      <c r="B273" s="16" t="str">
        <f>IMAGE("https://lmztiles.s3.eu-west-1.amazonaws.com/Modern_Interiors_v41.3.4/1_Interiors/16x16/Theme_Sorter_Singles/22_Museum_Singles/Museum_Singles_274.png")</f>
        <v/>
      </c>
    </row>
    <row r="274" ht="42.0" customHeight="1">
      <c r="A274" s="16" t="s">
        <v>5371</v>
      </c>
      <c r="B274" s="16" t="str">
        <f>IMAGE("https://lmztiles.s3.eu-west-1.amazonaws.com/Modern_Interiors_v41.3.4/1_Interiors/16x16/Theme_Sorter_Singles/22_Museum_Singles/Museum_Singles_275.png")</f>
        <v/>
      </c>
    </row>
    <row r="275" ht="42.0" customHeight="1">
      <c r="A275" s="16" t="s">
        <v>5372</v>
      </c>
      <c r="B275" s="16" t="str">
        <f>IMAGE("https://lmztiles.s3.eu-west-1.amazonaws.com/Modern_Interiors_v41.3.4/1_Interiors/16x16/Theme_Sorter_Singles/22_Museum_Singles/Museum_Singles_276.png")</f>
        <v/>
      </c>
    </row>
    <row r="276" ht="42.0" customHeight="1">
      <c r="A276" s="16" t="s">
        <v>5373</v>
      </c>
      <c r="B276" s="16" t="str">
        <f>IMAGE("https://lmztiles.s3.eu-west-1.amazonaws.com/Modern_Interiors_v41.3.4/1_Interiors/16x16/Theme_Sorter_Singles/22_Museum_Singles/Museum_Singles_277.png")</f>
        <v/>
      </c>
    </row>
    <row r="277" ht="42.0" customHeight="1">
      <c r="A277" s="16" t="s">
        <v>5374</v>
      </c>
      <c r="B277" s="16" t="str">
        <f>IMAGE("https://lmztiles.s3.eu-west-1.amazonaws.com/Modern_Interiors_v41.3.4/1_Interiors/16x16/Theme_Sorter_Singles/22_Museum_Singles/Museum_Singles_278.png")</f>
        <v/>
      </c>
    </row>
    <row r="278" ht="42.0" customHeight="1">
      <c r="A278" s="16" t="s">
        <v>5375</v>
      </c>
      <c r="B278" s="16" t="str">
        <f>IMAGE("https://lmztiles.s3.eu-west-1.amazonaws.com/Modern_Interiors_v41.3.4/1_Interiors/16x16/Theme_Sorter_Singles/22_Museum_Singles/Museum_Singles_279.png")</f>
        <v/>
      </c>
    </row>
    <row r="279" ht="42.0" customHeight="1">
      <c r="A279" s="16" t="s">
        <v>5376</v>
      </c>
      <c r="B279" s="16" t="str">
        <f>IMAGE("https://lmztiles.s3.eu-west-1.amazonaws.com/Modern_Interiors_v41.3.4/1_Interiors/16x16/Theme_Sorter_Singles/22_Museum_Singles/Museum_Singles_280.png")</f>
        <v/>
      </c>
    </row>
    <row r="280" ht="42.0" customHeight="1">
      <c r="A280" s="16" t="s">
        <v>5377</v>
      </c>
      <c r="B280" s="16" t="str">
        <f>IMAGE("https://lmztiles.s3.eu-west-1.amazonaws.com/Modern_Interiors_v41.3.4/1_Interiors/16x16/Theme_Sorter_Singles/22_Museum_Singles/Museum_Singles_281.png")</f>
        <v/>
      </c>
    </row>
    <row r="281" ht="42.0" customHeight="1">
      <c r="A281" s="16" t="s">
        <v>5378</v>
      </c>
      <c r="B281" s="16" t="str">
        <f>IMAGE("https://lmztiles.s3.eu-west-1.amazonaws.com/Modern_Interiors_v41.3.4/1_Interiors/16x16/Theme_Sorter_Singles/22_Museum_Singles/Museum_Singles_282.png")</f>
        <v/>
      </c>
    </row>
    <row r="282" ht="42.0" customHeight="1">
      <c r="A282" s="16" t="s">
        <v>5379</v>
      </c>
      <c r="B282" s="16" t="str">
        <f>IMAGE("https://lmztiles.s3.eu-west-1.amazonaws.com/Modern_Interiors_v41.3.4/1_Interiors/16x16/Theme_Sorter_Singles/22_Museum_Singles/Museum_Singles_283.png")</f>
        <v/>
      </c>
    </row>
    <row r="283" ht="42.0" customHeight="1">
      <c r="A283" s="16" t="s">
        <v>5380</v>
      </c>
      <c r="B283" s="16" t="str">
        <f>IMAGE("https://lmztiles.s3.eu-west-1.amazonaws.com/Modern_Interiors_v41.3.4/1_Interiors/16x16/Theme_Sorter_Singles/22_Museum_Singles/Museum_Singles_284.png")</f>
        <v/>
      </c>
    </row>
    <row r="284" ht="42.0" customHeight="1">
      <c r="A284" s="16" t="s">
        <v>5381</v>
      </c>
      <c r="B284" s="16" t="str">
        <f>IMAGE("https://lmztiles.s3.eu-west-1.amazonaws.com/Modern_Interiors_v41.3.4/1_Interiors/16x16/Theme_Sorter_Singles/22_Museum_Singles/Museum_Singles_285.png")</f>
        <v/>
      </c>
    </row>
    <row r="285" ht="42.0" customHeight="1">
      <c r="A285" s="16" t="s">
        <v>5382</v>
      </c>
      <c r="B285" s="16" t="str">
        <f>IMAGE("https://lmztiles.s3.eu-west-1.amazonaws.com/Modern_Interiors_v41.3.4/1_Interiors/16x16/Theme_Sorter_Singles/22_Museum_Singles/Museum_Singles_286.png")</f>
        <v/>
      </c>
    </row>
    <row r="286" ht="42.0" customHeight="1">
      <c r="A286" s="16" t="s">
        <v>5383</v>
      </c>
      <c r="B286" s="16" t="str">
        <f>IMAGE("https://lmztiles.s3.eu-west-1.amazonaws.com/Modern_Interiors_v41.3.4/1_Interiors/16x16/Theme_Sorter_Singles/22_Museum_Singles/Museum_Singles_287.png")</f>
        <v/>
      </c>
    </row>
    <row r="287" ht="42.0" customHeight="1">
      <c r="A287" s="16" t="s">
        <v>5384</v>
      </c>
      <c r="B287" s="16" t="str">
        <f>IMAGE("https://lmztiles.s3.eu-west-1.amazonaws.com/Modern_Interiors_v41.3.4/1_Interiors/16x16/Theme_Sorter_Singles/22_Museum_Singles/Museum_Singles_288.png")</f>
        <v/>
      </c>
    </row>
    <row r="288" ht="42.0" customHeight="1">
      <c r="A288" s="16" t="s">
        <v>5385</v>
      </c>
      <c r="B288" s="16" t="str">
        <f>IMAGE("https://lmztiles.s3.eu-west-1.amazonaws.com/Modern_Interiors_v41.3.4/1_Interiors/16x16/Theme_Sorter_Singles/22_Museum_Singles/Museum_Singles_289.png")</f>
        <v/>
      </c>
    </row>
    <row r="289" ht="42.0" customHeight="1">
      <c r="A289" s="16" t="s">
        <v>5386</v>
      </c>
      <c r="B289" s="16" t="str">
        <f>IMAGE("https://lmztiles.s3.eu-west-1.amazonaws.com/Modern_Interiors_v41.3.4/1_Interiors/16x16/Theme_Sorter_Singles/22_Museum_Singles/Museum_Singles_290.png")</f>
        <v/>
      </c>
    </row>
    <row r="290" ht="42.0" customHeight="1">
      <c r="A290" s="16" t="s">
        <v>5387</v>
      </c>
      <c r="B290" s="16" t="str">
        <f>IMAGE("https://lmztiles.s3.eu-west-1.amazonaws.com/Modern_Interiors_v41.3.4/1_Interiors/16x16/Theme_Sorter_Singles/22_Museum_Singles/Museum_Singles_291.png")</f>
        <v/>
      </c>
    </row>
    <row r="291" ht="42.0" customHeight="1">
      <c r="A291" s="16" t="s">
        <v>5388</v>
      </c>
      <c r="B291" s="16" t="str">
        <f>IMAGE("https://lmztiles.s3.eu-west-1.amazonaws.com/Modern_Interiors_v41.3.4/1_Interiors/16x16/Theme_Sorter_Singles/22_Museum_Singles/Museum_Singles_292.png")</f>
        <v/>
      </c>
    </row>
    <row r="292" ht="42.0" customHeight="1">
      <c r="A292" s="16" t="s">
        <v>5389</v>
      </c>
      <c r="B292" s="16" t="str">
        <f>IMAGE("https://lmztiles.s3.eu-west-1.amazonaws.com/Modern_Interiors_v41.3.4/1_Interiors/16x16/Theme_Sorter_Singles/22_Museum_Singles/Museum_Singles_293.png")</f>
        <v/>
      </c>
    </row>
    <row r="293" ht="42.0" customHeight="1">
      <c r="A293" s="16" t="s">
        <v>5390</v>
      </c>
      <c r="B293" s="16" t="str">
        <f>IMAGE("https://lmztiles.s3.eu-west-1.amazonaws.com/Modern_Interiors_v41.3.4/1_Interiors/16x16/Theme_Sorter_Singles/22_Museum_Singles/Museum_Singles_294.png")</f>
        <v/>
      </c>
    </row>
    <row r="294" ht="42.0" customHeight="1">
      <c r="A294" s="16" t="s">
        <v>5391</v>
      </c>
      <c r="B294" s="16" t="str">
        <f>IMAGE("https://lmztiles.s3.eu-west-1.amazonaws.com/Modern_Interiors_v41.3.4/1_Interiors/16x16/Theme_Sorter_Singles/22_Museum_Singles/Museum_Singles_295.png")</f>
        <v/>
      </c>
    </row>
    <row r="295" ht="42.0" customHeight="1">
      <c r="A295" s="16" t="s">
        <v>5392</v>
      </c>
      <c r="B295" s="16" t="str">
        <f>IMAGE("https://lmztiles.s3.eu-west-1.amazonaws.com/Modern_Interiors_v41.3.4/1_Interiors/16x16/Theme_Sorter_Singles/22_Museum_Singles/Museum_Singles_296.png")</f>
        <v/>
      </c>
    </row>
    <row r="296" ht="42.0" customHeight="1">
      <c r="A296" s="16" t="s">
        <v>5393</v>
      </c>
      <c r="B296" s="16" t="str">
        <f>IMAGE("https://lmztiles.s3.eu-west-1.amazonaws.com/Modern_Interiors_v41.3.4/1_Interiors/16x16/Theme_Sorter_Singles/22_Museum_Singles/Museum_Singles_297.png")</f>
        <v/>
      </c>
    </row>
    <row r="297" ht="42.0" customHeight="1">
      <c r="A297" s="16" t="s">
        <v>5394</v>
      </c>
      <c r="B297" s="16" t="str">
        <f>IMAGE("https://lmztiles.s3.eu-west-1.amazonaws.com/Modern_Interiors_v41.3.4/1_Interiors/16x16/Theme_Sorter_Singles/22_Museum_Singles/Museum_Singles_298.png")</f>
        <v/>
      </c>
    </row>
    <row r="298" ht="42.0" customHeight="1">
      <c r="A298" s="16" t="s">
        <v>5395</v>
      </c>
      <c r="B298" s="16" t="str">
        <f>IMAGE("https://lmztiles.s3.eu-west-1.amazonaws.com/Modern_Interiors_v41.3.4/1_Interiors/16x16/Theme_Sorter_Singles/22_Museum_Singles/Museum_Singles_299.png")</f>
        <v/>
      </c>
    </row>
    <row r="299" ht="42.0" customHeight="1">
      <c r="A299" s="16" t="s">
        <v>5396</v>
      </c>
      <c r="B299" s="16" t="str">
        <f>IMAGE("https://lmztiles.s3.eu-west-1.amazonaws.com/Modern_Interiors_v41.3.4/1_Interiors/16x16/Theme_Sorter_Singles/22_Museum_Singles/Museum_Singles_300.png")</f>
        <v/>
      </c>
    </row>
    <row r="300" ht="42.0" customHeight="1">
      <c r="A300" s="16" t="s">
        <v>5397</v>
      </c>
      <c r="B300" s="16" t="str">
        <f>IMAGE("https://lmztiles.s3.eu-west-1.amazonaws.com/Modern_Interiors_v41.3.4/1_Interiors/16x16/Theme_Sorter_Singles/22_Museum_Singles/Museum_Singles_301.png")</f>
        <v/>
      </c>
    </row>
    <row r="301" ht="42.0" customHeight="1">
      <c r="A301" s="16" t="s">
        <v>5398</v>
      </c>
      <c r="B301" s="16" t="str">
        <f>IMAGE("https://lmztiles.s3.eu-west-1.amazonaws.com/Modern_Interiors_v41.3.4/1_Interiors/16x16/Theme_Sorter_Singles/22_Museum_Singles/Museum_Singles_302.png")</f>
        <v/>
      </c>
    </row>
    <row r="302" ht="42.0" customHeight="1">
      <c r="A302" s="16" t="s">
        <v>5399</v>
      </c>
      <c r="B302" s="16" t="str">
        <f>IMAGE("https://lmztiles.s3.eu-west-1.amazonaws.com/Modern_Interiors_v41.3.4/1_Interiors/16x16/Theme_Sorter_Singles/22_Museum_Singles/Museum_Singles_303.png")</f>
        <v/>
      </c>
    </row>
    <row r="303" ht="42.0" customHeight="1">
      <c r="A303" s="16" t="s">
        <v>5400</v>
      </c>
      <c r="B303" s="16" t="str">
        <f>IMAGE("https://lmztiles.s3.eu-west-1.amazonaws.com/Modern_Interiors_v41.3.4/1_Interiors/16x16/Theme_Sorter_Singles/22_Museum_Singles/Museum_Singles_304.png")</f>
        <v/>
      </c>
    </row>
    <row r="304" ht="42.0" customHeight="1">
      <c r="A304" s="16" t="s">
        <v>5401</v>
      </c>
      <c r="B304" s="16" t="str">
        <f>IMAGE("https://lmztiles.s3.eu-west-1.amazonaws.com/Modern_Interiors_v41.3.4/1_Interiors/16x16/Theme_Sorter_Singles/22_Museum_Singles/Museum_Singles_305.png")</f>
        <v/>
      </c>
    </row>
    <row r="305" ht="42.0" customHeight="1">
      <c r="A305" s="16" t="s">
        <v>5402</v>
      </c>
      <c r="B305" s="16" t="str">
        <f>IMAGE("https://lmztiles.s3.eu-west-1.amazonaws.com/Modern_Interiors_v41.3.4/1_Interiors/16x16/Theme_Sorter_Singles/22_Museum_Singles/Museum_Singles_306.png")</f>
        <v/>
      </c>
    </row>
    <row r="306" ht="42.0" customHeight="1">
      <c r="A306" s="16" t="s">
        <v>5403</v>
      </c>
      <c r="B306" s="16" t="str">
        <f>IMAGE("https://lmztiles.s3.eu-west-1.amazonaws.com/Modern_Interiors_v41.3.4/1_Interiors/16x16/Theme_Sorter_Singles/22_Museum_Singles/Museum_Singles_307.png")</f>
        <v/>
      </c>
    </row>
    <row r="307" ht="42.0" customHeight="1">
      <c r="A307" s="16" t="s">
        <v>5404</v>
      </c>
      <c r="B307" s="16" t="str">
        <f>IMAGE("https://lmztiles.s3.eu-west-1.amazonaws.com/Modern_Interiors_v41.3.4/1_Interiors/16x16/Theme_Sorter_Singles/22_Museum_Singles/Museum_Singles_308.png")</f>
        <v/>
      </c>
    </row>
    <row r="308" ht="42.0" customHeight="1">
      <c r="A308" s="16" t="s">
        <v>5405</v>
      </c>
      <c r="B308" s="16" t="str">
        <f>IMAGE("https://lmztiles.s3.eu-west-1.amazonaws.com/Modern_Interiors_v41.3.4/1_Interiors/16x16/Theme_Sorter_Singles/22_Museum_Singles/Museum_Singles_309.png")</f>
        <v/>
      </c>
    </row>
    <row r="309" ht="42.0" customHeight="1">
      <c r="A309" s="16" t="s">
        <v>5406</v>
      </c>
      <c r="B309" s="16" t="str">
        <f>IMAGE("https://lmztiles.s3.eu-west-1.amazonaws.com/Modern_Interiors_v41.3.4/1_Interiors/16x16/Theme_Sorter_Singles/22_Museum_Singles/Museum_Singles_310.png")</f>
        <v/>
      </c>
    </row>
    <row r="310" ht="42.0" customHeight="1">
      <c r="A310" s="16" t="s">
        <v>5407</v>
      </c>
      <c r="B310" s="16" t="str">
        <f>IMAGE("https://lmztiles.s3.eu-west-1.amazonaws.com/Modern_Interiors_v41.3.4/1_Interiors/16x16/Theme_Sorter_Singles/22_Museum_Singles/Museum_Singles_311.png")</f>
        <v/>
      </c>
    </row>
    <row r="311" ht="42.0" customHeight="1">
      <c r="A311" s="16" t="s">
        <v>5408</v>
      </c>
      <c r="B311" s="16" t="str">
        <f>IMAGE("https://lmztiles.s3.eu-west-1.amazonaws.com/Modern_Interiors_v41.3.4/1_Interiors/16x16/Theme_Sorter_Singles/22_Museum_Singles/Museum_Singles_312.png")</f>
        <v/>
      </c>
    </row>
    <row r="312" ht="42.0" customHeight="1">
      <c r="A312" s="16" t="s">
        <v>5409</v>
      </c>
      <c r="B312" s="16" t="str">
        <f>IMAGE("https://lmztiles.s3.eu-west-1.amazonaws.com/Modern_Interiors_v41.3.4/1_Interiors/16x16/Theme_Sorter_Singles/22_Museum_Singles/Museum_Singles_313.png")</f>
        <v/>
      </c>
    </row>
    <row r="313" ht="42.0" customHeight="1">
      <c r="A313" s="16" t="s">
        <v>5410</v>
      </c>
      <c r="B313" s="16" t="str">
        <f>IMAGE("https://lmztiles.s3.eu-west-1.amazonaws.com/Modern_Interiors_v41.3.4/1_Interiors/16x16/Theme_Sorter_Singles/22_Museum_Singles/Museum_Singles_314.png")</f>
        <v/>
      </c>
    </row>
    <row r="314" ht="42.0" customHeight="1">
      <c r="A314" s="16" t="s">
        <v>5411</v>
      </c>
      <c r="B314" s="16" t="str">
        <f>IMAGE("https://lmztiles.s3.eu-west-1.amazonaws.com/Modern_Interiors_v41.3.4/1_Interiors/16x16/Theme_Sorter_Singles/22_Museum_Singles/Museum_Singles_315.png")</f>
        <v/>
      </c>
    </row>
    <row r="315" ht="42.0" customHeight="1">
      <c r="A315" s="16" t="s">
        <v>5412</v>
      </c>
      <c r="B315" s="16" t="str">
        <f>IMAGE("https://lmztiles.s3.eu-west-1.amazonaws.com/Modern_Interiors_v41.3.4/1_Interiors/16x16/Theme_Sorter_Singles/22_Museum_Singles/Museum_Singles_316.png")</f>
        <v/>
      </c>
    </row>
    <row r="316" ht="42.0" customHeight="1">
      <c r="A316" s="16" t="s">
        <v>5413</v>
      </c>
      <c r="B316" s="16" t="str">
        <f>IMAGE("https://lmztiles.s3.eu-west-1.amazonaws.com/Modern_Interiors_v41.3.4/1_Interiors/16x16/Theme_Sorter_Singles/22_Museum_Singles/Museum_Singles_317.png")</f>
        <v/>
      </c>
    </row>
    <row r="317" ht="42.0" customHeight="1">
      <c r="A317" s="16" t="s">
        <v>5414</v>
      </c>
      <c r="B317" s="16" t="str">
        <f>IMAGE("https://lmztiles.s3.eu-west-1.amazonaws.com/Modern_Interiors_v41.3.4/1_Interiors/16x16/Theme_Sorter_Singles/22_Museum_Singles/Museum_Singles_318.png")</f>
        <v/>
      </c>
    </row>
    <row r="318" ht="42.0" customHeight="1">
      <c r="A318" s="16" t="s">
        <v>5415</v>
      </c>
      <c r="B318" s="16" t="str">
        <f>IMAGE("https://lmztiles.s3.eu-west-1.amazonaws.com/Modern_Interiors_v41.3.4/1_Interiors/16x16/Theme_Sorter_Singles/22_Museum_Singles/Museum_Singles_319.png")</f>
        <v/>
      </c>
    </row>
    <row r="319" ht="42.0" customHeight="1">
      <c r="A319" s="16" t="s">
        <v>5416</v>
      </c>
      <c r="B319" s="16" t="str">
        <f>IMAGE("https://lmztiles.s3.eu-west-1.amazonaws.com/Modern_Interiors_v41.3.4/1_Interiors/16x16/Theme_Sorter_Singles/22_Museum_Singles/Museum_Singles_320.png")</f>
        <v/>
      </c>
    </row>
    <row r="320" ht="42.0" customHeight="1">
      <c r="A320" s="16" t="s">
        <v>5417</v>
      </c>
      <c r="B320" s="16" t="str">
        <f>IMAGE("https://lmztiles.s3.eu-west-1.amazonaws.com/Modern_Interiors_v41.3.4/1_Interiors/16x16/Theme_Sorter_Singles/22_Museum_Singles/Museum_Singles_321.png")</f>
        <v/>
      </c>
    </row>
    <row r="321" ht="42.0" customHeight="1">
      <c r="A321" s="16" t="s">
        <v>5418</v>
      </c>
      <c r="B321" s="16" t="str">
        <f>IMAGE("https://lmztiles.s3.eu-west-1.amazonaws.com/Modern_Interiors_v41.3.4/1_Interiors/16x16/Theme_Sorter_Singles/22_Museum_Singles/Museum_Singles_322.png")</f>
        <v/>
      </c>
    </row>
    <row r="322" ht="42.0" customHeight="1">
      <c r="A322" s="16" t="s">
        <v>5419</v>
      </c>
      <c r="B322" s="16" t="str">
        <f>IMAGE("https://lmztiles.s3.eu-west-1.amazonaws.com/Modern_Interiors_v41.3.4/1_Interiors/16x16/Theme_Sorter_Singles/22_Museum_Singles/Museum_Singles_323.png")</f>
        <v/>
      </c>
    </row>
    <row r="323" ht="42.0" customHeight="1">
      <c r="A323" s="16" t="s">
        <v>5420</v>
      </c>
      <c r="B323" s="16" t="str">
        <f>IMAGE("https://lmztiles.s3.eu-west-1.amazonaws.com/Modern_Interiors_v41.3.4/1_Interiors/16x16/Theme_Sorter_Singles/22_Museum_Singles/Museum_Singles_324.png")</f>
        <v/>
      </c>
    </row>
    <row r="324" ht="42.0" customHeight="1">
      <c r="A324" s="16" t="s">
        <v>5421</v>
      </c>
      <c r="B324" s="16" t="str">
        <f>IMAGE("https://lmztiles.s3.eu-west-1.amazonaws.com/Modern_Interiors_v41.3.4/1_Interiors/16x16/Theme_Sorter_Singles/22_Museum_Singles/Museum_Singles_325.png")</f>
        <v/>
      </c>
    </row>
    <row r="325" ht="42.0" customHeight="1">
      <c r="A325" s="16" t="s">
        <v>5422</v>
      </c>
      <c r="B325" s="16" t="str">
        <f>IMAGE("https://lmztiles.s3.eu-west-1.amazonaws.com/Modern_Interiors_v41.3.4/1_Interiors/16x16/Theme_Sorter_Singles/22_Museum_Singles/Museum_Singles_326.png")</f>
        <v/>
      </c>
    </row>
    <row r="326" ht="42.0" customHeight="1">
      <c r="A326" s="16" t="s">
        <v>5423</v>
      </c>
      <c r="B326" s="16" t="str">
        <f>IMAGE("https://lmztiles.s3.eu-west-1.amazonaws.com/Modern_Interiors_v41.3.4/1_Interiors/16x16/Theme_Sorter_Singles/22_Museum_Singles/Museum_Singles_327.png")</f>
        <v/>
      </c>
    </row>
    <row r="327" ht="42.0" customHeight="1">
      <c r="A327" s="16" t="s">
        <v>5424</v>
      </c>
      <c r="B327" s="16" t="str">
        <f>IMAGE("https://lmztiles.s3.eu-west-1.amazonaws.com/Modern_Interiors_v41.3.4/1_Interiors/16x16/Theme_Sorter_Singles/22_Museum_Singles/Museum_Singles_328.png")</f>
        <v/>
      </c>
    </row>
    <row r="328" ht="42.0" customHeight="1">
      <c r="A328" s="16" t="s">
        <v>5425</v>
      </c>
      <c r="B328" s="16" t="str">
        <f>IMAGE("https://lmztiles.s3.eu-west-1.amazonaws.com/Modern_Interiors_v41.3.4/1_Interiors/16x16/Theme_Sorter_Singles/22_Museum_Singles/Museum_Singles_329.png")</f>
        <v/>
      </c>
    </row>
    <row r="329" ht="42.0" customHeight="1">
      <c r="A329" s="16" t="s">
        <v>5426</v>
      </c>
      <c r="B329" s="16" t="str">
        <f>IMAGE("https://lmztiles.s3.eu-west-1.amazonaws.com/Modern_Interiors_v41.3.4/1_Interiors/16x16/Theme_Sorter_Singles/22_Museum_Singles/Museum_Singles_330.png")</f>
        <v/>
      </c>
    </row>
    <row r="330" ht="42.0" customHeight="1">
      <c r="A330" s="16" t="s">
        <v>5427</v>
      </c>
      <c r="B330" s="16" t="str">
        <f>IMAGE("https://lmztiles.s3.eu-west-1.amazonaws.com/Modern_Interiors_v41.3.4/1_Interiors/16x16/Theme_Sorter_Singles/22_Museum_Singles/Museum_Singles_331.png")</f>
        <v/>
      </c>
    </row>
    <row r="331" ht="42.0" customHeight="1">
      <c r="A331" s="16" t="s">
        <v>5428</v>
      </c>
      <c r="B331" s="16" t="str">
        <f>IMAGE("https://lmztiles.s3.eu-west-1.amazonaws.com/Modern_Interiors_v41.3.4/1_Interiors/16x16/Theme_Sorter_Singles/22_Museum_Singles/Museum_Singles_332.png")</f>
        <v/>
      </c>
    </row>
    <row r="332" ht="42.0" customHeight="1">
      <c r="A332" s="16" t="s">
        <v>5429</v>
      </c>
      <c r="B332" s="16" t="str">
        <f>IMAGE("https://lmztiles.s3.eu-west-1.amazonaws.com/Modern_Interiors_v41.3.4/1_Interiors/16x16/Theme_Sorter_Singles/22_Museum_Singles/Museum_Singles_333.png")</f>
        <v/>
      </c>
    </row>
    <row r="333" ht="42.0" customHeight="1">
      <c r="A333" s="16" t="s">
        <v>5430</v>
      </c>
      <c r="B333" s="16" t="str">
        <f>IMAGE("https://lmztiles.s3.eu-west-1.amazonaws.com/Modern_Interiors_v41.3.4/1_Interiors/16x16/Theme_Sorter_Singles/22_Museum_Singles/Museum_Singles_334.png")</f>
        <v/>
      </c>
    </row>
    <row r="334" ht="42.0" customHeight="1">
      <c r="A334" s="16" t="s">
        <v>5431</v>
      </c>
      <c r="B334" s="16" t="str">
        <f>IMAGE("https://lmztiles.s3.eu-west-1.amazonaws.com/Modern_Interiors_v41.3.4/1_Interiors/16x16/Theme_Sorter_Singles/22_Museum_Singles/Museum_Singles_335.png")</f>
        <v/>
      </c>
    </row>
    <row r="335" ht="42.0" customHeight="1">
      <c r="A335" s="16" t="s">
        <v>5432</v>
      </c>
      <c r="B335" s="16" t="str">
        <f>IMAGE("https://lmztiles.s3.eu-west-1.amazonaws.com/Modern_Interiors_v41.3.4/1_Interiors/16x16/Theme_Sorter_Singles/22_Museum_Singles/Museum_Singles_336.png")</f>
        <v/>
      </c>
    </row>
    <row r="336" ht="42.0" customHeight="1">
      <c r="A336" s="16" t="s">
        <v>5433</v>
      </c>
      <c r="B336" s="16" t="str">
        <f>IMAGE("https://lmztiles.s3.eu-west-1.amazonaws.com/Modern_Interiors_v41.3.4/1_Interiors/16x16/Theme_Sorter_Singles/22_Museum_Singles/Museum_Singles_337.png")</f>
        <v/>
      </c>
    </row>
    <row r="337" ht="42.0" customHeight="1">
      <c r="A337" s="16" t="s">
        <v>5434</v>
      </c>
      <c r="B337" s="16" t="str">
        <f>IMAGE("https://lmztiles.s3.eu-west-1.amazonaws.com/Modern_Interiors_v41.3.4/1_Interiors/16x16/Theme_Sorter_Singles/22_Museum_Singles/Museum_Singles_338.png")</f>
        <v/>
      </c>
    </row>
    <row r="338" ht="42.0" customHeight="1">
      <c r="A338" s="16" t="s">
        <v>5435</v>
      </c>
      <c r="B338" s="16" t="str">
        <f>IMAGE("https://lmztiles.s3.eu-west-1.amazonaws.com/Modern_Interiors_v41.3.4/1_Interiors/16x16/Theme_Sorter_Singles/22_Museum_Singles/Museum_Singles_339.png")</f>
        <v/>
      </c>
    </row>
    <row r="339" ht="42.0" customHeight="1">
      <c r="A339" s="16" t="s">
        <v>5436</v>
      </c>
      <c r="B339" s="16" t="str">
        <f>IMAGE("https://lmztiles.s3.eu-west-1.amazonaws.com/Modern_Interiors_v41.3.4/1_Interiors/16x16/Theme_Sorter_Singles/22_Museum_Singles/Museum_Singles_340.png")</f>
        <v/>
      </c>
    </row>
    <row r="340" ht="42.0" customHeight="1">
      <c r="A340" s="16" t="s">
        <v>5437</v>
      </c>
      <c r="B340" s="16" t="str">
        <f>IMAGE("https://lmztiles.s3.eu-west-1.amazonaws.com/Modern_Interiors_v41.3.4/1_Interiors/16x16/Theme_Sorter_Singles/22_Museum_Singles/Museum_Singles_341.png")</f>
        <v/>
      </c>
    </row>
    <row r="341" ht="42.0" customHeight="1">
      <c r="A341" s="16" t="s">
        <v>5438</v>
      </c>
      <c r="B341" s="16" t="str">
        <f>IMAGE("https://lmztiles.s3.eu-west-1.amazonaws.com/Modern_Interiors_v41.3.4/1_Interiors/16x16/Theme_Sorter_Singles/22_Museum_Singles/Museum_Singles_342.png")</f>
        <v/>
      </c>
    </row>
    <row r="342" ht="42.0" customHeight="1">
      <c r="A342" s="16" t="s">
        <v>5439</v>
      </c>
      <c r="B342" s="16" t="str">
        <f>IMAGE("https://lmztiles.s3.eu-west-1.amazonaws.com/Modern_Interiors_v41.3.4/1_Interiors/16x16/Theme_Sorter_Singles/22_Museum_Singles/Museum_Singles_343.png")</f>
        <v/>
      </c>
    </row>
    <row r="343" ht="42.0" customHeight="1">
      <c r="A343" s="16" t="s">
        <v>5440</v>
      </c>
      <c r="B343" s="16" t="str">
        <f>IMAGE("https://lmztiles.s3.eu-west-1.amazonaws.com/Modern_Interiors_v41.3.4/1_Interiors/16x16/Theme_Sorter_Singles/22_Museum_Singles/Museum_Singles_344.png")</f>
        <v/>
      </c>
    </row>
    <row r="344" ht="42.0" customHeight="1">
      <c r="A344" s="16" t="s">
        <v>5441</v>
      </c>
      <c r="B344" s="16" t="str">
        <f>IMAGE("https://lmztiles.s3.eu-west-1.amazonaws.com/Modern_Interiors_v41.3.4/1_Interiors/16x16/Theme_Sorter_Singles/22_Museum_Singles/Museum_Singles_345.png")</f>
        <v/>
      </c>
    </row>
    <row r="345" ht="42.0" customHeight="1">
      <c r="A345" s="16" t="s">
        <v>5442</v>
      </c>
      <c r="B345" s="16" t="str">
        <f>IMAGE("https://lmztiles.s3.eu-west-1.amazonaws.com/Modern_Interiors_v41.3.4/1_Interiors/16x16/Theme_Sorter_Singles/22_Museum_Singles/Museum_Singles_346.png")</f>
        <v/>
      </c>
    </row>
    <row r="346" ht="42.0" customHeight="1">
      <c r="A346" s="16" t="s">
        <v>5443</v>
      </c>
      <c r="B346" s="16" t="str">
        <f>IMAGE("https://lmztiles.s3.eu-west-1.amazonaws.com/Modern_Interiors_v41.3.4/1_Interiors/16x16/Theme_Sorter_Singles/22_Museum_Singles/Museum_Singles_347.png")</f>
        <v/>
      </c>
    </row>
    <row r="347" ht="42.0" customHeight="1">
      <c r="A347" s="16" t="s">
        <v>5444</v>
      </c>
      <c r="B347" s="16" t="str">
        <f>IMAGE("https://lmztiles.s3.eu-west-1.amazonaws.com/Modern_Interiors_v41.3.4/1_Interiors/16x16/Theme_Sorter_Singles/22_Museum_Singles/Museum_Singles_348.png")</f>
        <v/>
      </c>
    </row>
    <row r="348" ht="42.0" customHeight="1">
      <c r="A348" s="16" t="s">
        <v>5445</v>
      </c>
      <c r="B348" s="16" t="str">
        <f>IMAGE("https://lmztiles.s3.eu-west-1.amazonaws.com/Modern_Interiors_v41.3.4/1_Interiors/16x16/Theme_Sorter_Singles/22_Museum_Singles/Museum_Singles_349.png")</f>
        <v/>
      </c>
    </row>
    <row r="349" ht="42.0" customHeight="1">
      <c r="A349" s="16" t="s">
        <v>5446</v>
      </c>
      <c r="B349" s="16" t="str">
        <f>IMAGE("https://lmztiles.s3.eu-west-1.amazonaws.com/Modern_Interiors_v41.3.4/1_Interiors/16x16/Theme_Sorter_Singles/22_Museum_Singles/Museum_Singles_350.png")</f>
        <v/>
      </c>
    </row>
    <row r="350" ht="42.0" customHeight="1">
      <c r="A350" s="16" t="s">
        <v>5447</v>
      </c>
      <c r="B350" s="16" t="str">
        <f>IMAGE("https://lmztiles.s3.eu-west-1.amazonaws.com/Modern_Interiors_v41.3.4/1_Interiors/16x16/Theme_Sorter_Singles/22_Museum_Singles/Museum_Singles_351.png")</f>
        <v/>
      </c>
    </row>
    <row r="351" ht="42.0" customHeight="1">
      <c r="A351" s="16" t="s">
        <v>5448</v>
      </c>
      <c r="B351" s="16" t="str">
        <f>IMAGE("https://lmztiles.s3.eu-west-1.amazonaws.com/Modern_Interiors_v41.3.4/1_Interiors/16x16/Theme_Sorter_Singles/22_Museum_Singles/Museum_Singles_352.png")</f>
        <v/>
      </c>
    </row>
    <row r="352" ht="42.0" customHeight="1">
      <c r="A352" s="16" t="s">
        <v>5449</v>
      </c>
      <c r="B352" s="16" t="str">
        <f>IMAGE("https://lmztiles.s3.eu-west-1.amazonaws.com/Modern_Interiors_v41.3.4/1_Interiors/16x16/Theme_Sorter_Singles/22_Museum_Singles/Museum_Singles_353.png")</f>
        <v/>
      </c>
    </row>
    <row r="353" ht="42.0" customHeight="1">
      <c r="A353" s="16" t="s">
        <v>5450</v>
      </c>
      <c r="B353" s="16" t="str">
        <f>IMAGE("https://lmztiles.s3.eu-west-1.amazonaws.com/Modern_Interiors_v41.3.4/1_Interiors/16x16/Theme_Sorter_Singles/22_Museum_Singles/Museum_Singles_354.png")</f>
        <v/>
      </c>
    </row>
    <row r="354" ht="42.0" customHeight="1">
      <c r="A354" s="16" t="s">
        <v>5451</v>
      </c>
      <c r="B354" s="16" t="str">
        <f>IMAGE("https://lmztiles.s3.eu-west-1.amazonaws.com/Modern_Interiors_v41.3.4/1_Interiors/16x16/Theme_Sorter_Singles/22_Museum_Singles/Museum_Singles_355.png")</f>
        <v/>
      </c>
    </row>
    <row r="355" ht="42.0" customHeight="1">
      <c r="A355" s="16" t="s">
        <v>5452</v>
      </c>
      <c r="B355" s="16" t="str">
        <f>IMAGE("https://lmztiles.s3.eu-west-1.amazonaws.com/Modern_Interiors_v41.3.4/1_Interiors/16x16/Theme_Sorter_Singles/22_Museum_Singles/Museum_Singles_356.png")</f>
        <v/>
      </c>
    </row>
    <row r="356" ht="42.0" customHeight="1">
      <c r="A356" s="16" t="s">
        <v>5453</v>
      </c>
      <c r="B356" s="16" t="str">
        <f>IMAGE("https://lmztiles.s3.eu-west-1.amazonaws.com/Modern_Interiors_v41.3.4/1_Interiors/16x16/Theme_Sorter_Singles/22_Museum_Singles/Museum_Singles_357.png")</f>
        <v/>
      </c>
    </row>
    <row r="357" ht="42.0" customHeight="1">
      <c r="A357" s="16" t="s">
        <v>5454</v>
      </c>
      <c r="B357" s="16" t="str">
        <f>IMAGE("https://lmztiles.s3.eu-west-1.amazonaws.com/Modern_Interiors_v41.3.4/1_Interiors/16x16/Theme_Sorter_Singles/22_Museum_Singles/Museum_Singles_358.png")</f>
        <v/>
      </c>
    </row>
    <row r="358" ht="42.0" customHeight="1">
      <c r="A358" s="16" t="s">
        <v>5455</v>
      </c>
      <c r="B358" s="16" t="str">
        <f>IMAGE("https://lmztiles.s3.eu-west-1.amazonaws.com/Modern_Interiors_v41.3.4/1_Interiors/16x16/Theme_Sorter_Singles/22_Museum_Singles/Museum_Singles_359.png")</f>
        <v/>
      </c>
    </row>
    <row r="359" ht="42.0" customHeight="1">
      <c r="A359" s="16" t="s">
        <v>5456</v>
      </c>
      <c r="B359" s="16" t="str">
        <f>IMAGE("https://lmztiles.s3.eu-west-1.amazonaws.com/Modern_Interiors_v41.3.4/1_Interiors/16x16/Theme_Sorter_Singles/22_Museum_Singles/Museum_Singles_360.png")</f>
        <v/>
      </c>
    </row>
    <row r="360" ht="42.0" customHeight="1">
      <c r="A360" s="16" t="s">
        <v>5457</v>
      </c>
      <c r="B360" s="16" t="str">
        <f>IMAGE("https://lmztiles.s3.eu-west-1.amazonaws.com/Modern_Interiors_v41.3.4/1_Interiors/16x16/Theme_Sorter_Singles/22_Museum_Singles/Museum_Singles_361.png")</f>
        <v/>
      </c>
    </row>
    <row r="361" ht="42.0" customHeight="1">
      <c r="A361" s="16" t="s">
        <v>5458</v>
      </c>
      <c r="B361" s="16" t="str">
        <f>IMAGE("https://lmztiles.s3.eu-west-1.amazonaws.com/Modern_Interiors_v41.3.4/1_Interiors/16x16/Theme_Sorter_Singles/22_Museum_Singles/Museum_Singles_362.png")</f>
        <v/>
      </c>
    </row>
    <row r="362" ht="42.0" customHeight="1">
      <c r="A362" s="16" t="s">
        <v>5459</v>
      </c>
      <c r="B362" s="16" t="str">
        <f>IMAGE("https://lmztiles.s3.eu-west-1.amazonaws.com/Modern_Interiors_v41.3.4/1_Interiors/16x16/Theme_Sorter_Singles/22_Museum_Singles/Museum_Singles_363.png")</f>
        <v/>
      </c>
    </row>
    <row r="363" ht="42.0" customHeight="1">
      <c r="A363" s="16" t="s">
        <v>5460</v>
      </c>
      <c r="B363" s="16" t="str">
        <f>IMAGE("https://lmztiles.s3.eu-west-1.amazonaws.com/Modern_Interiors_v41.3.4/1_Interiors/16x16/Theme_Sorter_Singles/22_Museum_Singles/Museum_Singles_364.png")</f>
        <v/>
      </c>
    </row>
    <row r="364" ht="42.0" customHeight="1">
      <c r="A364" s="16" t="s">
        <v>5461</v>
      </c>
      <c r="B364" s="16" t="str">
        <f>IMAGE("https://lmztiles.s3.eu-west-1.amazonaws.com/Modern_Interiors_v41.3.4/1_Interiors/16x16/Theme_Sorter_Singles/22_Museum_Singles/Museum_Singles_365.png")</f>
        <v/>
      </c>
    </row>
    <row r="365" ht="42.0" customHeight="1">
      <c r="A365" s="16" t="s">
        <v>5462</v>
      </c>
      <c r="B365" s="16" t="str">
        <f>IMAGE("https://lmztiles.s3.eu-west-1.amazonaws.com/Modern_Interiors_v41.3.4/1_Interiors/16x16/Theme_Sorter_Singles/22_Museum_Singles/Museum_Singles_366.png")</f>
        <v/>
      </c>
    </row>
    <row r="366" ht="42.0" customHeight="1">
      <c r="A366" s="16" t="s">
        <v>5463</v>
      </c>
      <c r="B366" s="16" t="str">
        <f>IMAGE("https://lmztiles.s3.eu-west-1.amazonaws.com/Modern_Interiors_v41.3.4/1_Interiors/16x16/Theme_Sorter_Singles/22_Museum_Singles/Museum_Singles_367.png")</f>
        <v/>
      </c>
    </row>
    <row r="367" ht="42.0" customHeight="1">
      <c r="A367" s="16" t="s">
        <v>5464</v>
      </c>
      <c r="B367" s="16" t="str">
        <f>IMAGE("https://lmztiles.s3.eu-west-1.amazonaws.com/Modern_Interiors_v41.3.4/1_Interiors/16x16/Theme_Sorter_Singles/22_Museum_Singles/Museum_Singles_368.png")</f>
        <v/>
      </c>
    </row>
    <row r="368" ht="42.0" customHeight="1">
      <c r="A368" s="16" t="s">
        <v>5465</v>
      </c>
      <c r="B368" s="16" t="str">
        <f>IMAGE("https://lmztiles.s3.eu-west-1.amazonaws.com/Modern_Interiors_v41.3.4/1_Interiors/16x16/Theme_Sorter_Singles/22_Museum_Singles/Museum_Singles_369.png")</f>
        <v/>
      </c>
    </row>
    <row r="369" ht="42.0" customHeight="1">
      <c r="A369" s="16" t="s">
        <v>5466</v>
      </c>
      <c r="B369" s="16" t="str">
        <f>IMAGE("https://lmztiles.s3.eu-west-1.amazonaws.com/Modern_Interiors_v41.3.4/1_Interiors/16x16/Theme_Sorter_Singles/22_Museum_Singles/Museum_Singles_370.png")</f>
        <v/>
      </c>
    </row>
    <row r="370" ht="42.0" customHeight="1">
      <c r="A370" s="16" t="s">
        <v>5467</v>
      </c>
      <c r="B370" s="16" t="str">
        <f>IMAGE("https://lmztiles.s3.eu-west-1.amazonaws.com/Modern_Interiors_v41.3.4/1_Interiors/16x16/Theme_Sorter_Singles/22_Museum_Singles/Museum_Singles_371.png")</f>
        <v/>
      </c>
    </row>
    <row r="371" ht="42.0" customHeight="1">
      <c r="A371" s="16" t="s">
        <v>5468</v>
      </c>
      <c r="B371" s="16" t="str">
        <f>IMAGE("https://lmztiles.s3.eu-west-1.amazonaws.com/Modern_Interiors_v41.3.4/1_Interiors/16x16/Theme_Sorter_Singles/22_Museum_Singles/Museum_Singles_372.png")</f>
        <v/>
      </c>
    </row>
    <row r="372" ht="42.0" customHeight="1">
      <c r="A372" s="16" t="s">
        <v>5469</v>
      </c>
      <c r="B372" s="16" t="str">
        <f>IMAGE("https://lmztiles.s3.eu-west-1.amazonaws.com/Modern_Interiors_v41.3.4/1_Interiors/16x16/Theme_Sorter_Singles/22_Museum_Singles/Museum_Singles_373.png")</f>
        <v/>
      </c>
    </row>
    <row r="373" ht="42.0" customHeight="1">
      <c r="A373" s="16" t="s">
        <v>5470</v>
      </c>
      <c r="B373" s="16" t="str">
        <f>IMAGE("https://lmztiles.s3.eu-west-1.amazonaws.com/Modern_Interiors_v41.3.4/1_Interiors/16x16/Theme_Sorter_Singles/22_Museum_Singles/Museum_Singles_374.png")</f>
        <v/>
      </c>
    </row>
    <row r="374" ht="42.0" customHeight="1">
      <c r="A374" s="16" t="s">
        <v>5471</v>
      </c>
      <c r="B374" s="16" t="str">
        <f>IMAGE("https://lmztiles.s3.eu-west-1.amazonaws.com/Modern_Interiors_v41.3.4/1_Interiors/16x16/Theme_Sorter_Singles/22_Museum_Singles/Museum_Singles_375.png")</f>
        <v/>
      </c>
    </row>
    <row r="375" ht="42.0" customHeight="1">
      <c r="A375" s="16" t="s">
        <v>5472</v>
      </c>
      <c r="B375" s="16" t="str">
        <f>IMAGE("https://lmztiles.s3.eu-west-1.amazonaws.com/Modern_Interiors_v41.3.4/1_Interiors/16x16/Theme_Sorter_Singles/22_Museum_Singles/Museum_Singles_376.png")</f>
        <v/>
      </c>
    </row>
    <row r="376" ht="42.0" customHeight="1">
      <c r="A376" s="16" t="s">
        <v>5473</v>
      </c>
      <c r="B376" s="16" t="str">
        <f>IMAGE("https://lmztiles.s3.eu-west-1.amazonaws.com/Modern_Interiors_v41.3.4/1_Interiors/16x16/Theme_Sorter_Singles/22_Museum_Singles/Museum_Singles_377.png")</f>
        <v/>
      </c>
    </row>
    <row r="377" ht="42.0" customHeight="1">
      <c r="A377" s="16" t="s">
        <v>5474</v>
      </c>
      <c r="B377" s="16" t="str">
        <f>IMAGE("https://lmztiles.s3.eu-west-1.amazonaws.com/Modern_Interiors_v41.3.4/1_Interiors/16x16/Theme_Sorter_Singles/22_Museum_Singles/Museum_Singles_378.png")</f>
        <v/>
      </c>
    </row>
    <row r="378" ht="42.0" customHeight="1">
      <c r="A378" s="16" t="s">
        <v>5475</v>
      </c>
      <c r="B378" s="16" t="str">
        <f>IMAGE("https://lmztiles.s3.eu-west-1.amazonaws.com/Modern_Interiors_v41.3.4/1_Interiors/16x16/Theme_Sorter_Singles/22_Museum_Singles/Museum_Singles_379.png")</f>
        <v/>
      </c>
    </row>
    <row r="379" ht="42.0" customHeight="1">
      <c r="A379" s="16" t="s">
        <v>5476</v>
      </c>
      <c r="B379" s="16" t="str">
        <f>IMAGE("https://lmztiles.s3.eu-west-1.amazonaws.com/Modern_Interiors_v41.3.4/1_Interiors/16x16/Theme_Sorter_Singles/22_Museum_Singles/Museum_Singles_380.png")</f>
        <v/>
      </c>
    </row>
    <row r="380" ht="42.0" customHeight="1">
      <c r="A380" s="16" t="s">
        <v>5477</v>
      </c>
      <c r="B380" s="16" t="str">
        <f>IMAGE("https://lmztiles.s3.eu-west-1.amazonaws.com/Modern_Interiors_v41.3.4/1_Interiors/16x16/Theme_Sorter_Singles/22_Museum_Singles/Museum_Singles_381.png")</f>
        <v/>
      </c>
    </row>
    <row r="381" ht="42.0" customHeight="1">
      <c r="A381" s="16" t="s">
        <v>5478</v>
      </c>
      <c r="B381" s="16" t="str">
        <f>IMAGE("https://lmztiles.s3.eu-west-1.amazonaws.com/Modern_Interiors_v41.3.4/1_Interiors/16x16/Theme_Sorter_Singles/22_Museum_Singles/Museum_Singles_382.png")</f>
        <v/>
      </c>
    </row>
    <row r="382" ht="42.0" customHeight="1">
      <c r="A382" s="16" t="s">
        <v>5479</v>
      </c>
      <c r="B382" s="16" t="str">
        <f>IMAGE("https://lmztiles.s3.eu-west-1.amazonaws.com/Modern_Interiors_v41.3.4/1_Interiors/16x16/Theme_Sorter_Singles/22_Museum_Singles/Museum_Singles_383.png")</f>
        <v/>
      </c>
    </row>
    <row r="383" ht="42.0" customHeight="1">
      <c r="A383" s="16" t="s">
        <v>5480</v>
      </c>
      <c r="B383" s="16" t="str">
        <f>IMAGE("https://lmztiles.s3.eu-west-1.amazonaws.com/Modern_Interiors_v41.3.4/1_Interiors/16x16/Theme_Sorter_Singles/22_Museum_Singles/Museum_Singles_384.png")</f>
        <v/>
      </c>
    </row>
    <row r="384" ht="42.0" customHeight="1">
      <c r="A384" s="16" t="s">
        <v>5481</v>
      </c>
      <c r="B384" s="16" t="str">
        <f>IMAGE("https://lmztiles.s3.eu-west-1.amazonaws.com/Modern_Interiors_v41.3.4/1_Interiors/16x16/Theme_Sorter_Singles/22_Museum_Singles/Museum_Singles_385.png")</f>
        <v/>
      </c>
    </row>
    <row r="385" ht="42.0" customHeight="1">
      <c r="A385" s="16" t="s">
        <v>5482</v>
      </c>
      <c r="B385" s="16" t="str">
        <f>IMAGE("https://lmztiles.s3.eu-west-1.amazonaws.com/Modern_Interiors_v41.3.4/1_Interiors/16x16/Theme_Sorter_Singles/22_Museum_Singles/Museum_Singles_386.png")</f>
        <v/>
      </c>
    </row>
    <row r="386" ht="42.0" customHeight="1">
      <c r="A386" s="16" t="s">
        <v>5483</v>
      </c>
      <c r="B386" s="16" t="str">
        <f>IMAGE("https://lmztiles.s3.eu-west-1.amazonaws.com/Modern_Interiors_v41.3.4/1_Interiors/16x16/Theme_Sorter_Singles/22_Museum_Singles/Museum_Singles_387.png")</f>
        <v/>
      </c>
    </row>
    <row r="387" ht="42.0" customHeight="1">
      <c r="A387" s="16" t="s">
        <v>5484</v>
      </c>
      <c r="B387" s="16" t="str">
        <f>IMAGE("https://lmztiles.s3.eu-west-1.amazonaws.com/Modern_Interiors_v41.3.4/1_Interiors/16x16/Theme_Sorter_Singles/22_Museum_Singles/Museum_Singles_388.png")</f>
        <v/>
      </c>
    </row>
    <row r="388" ht="42.0" customHeight="1">
      <c r="A388" s="16" t="s">
        <v>5485</v>
      </c>
      <c r="B388" s="16" t="str">
        <f>IMAGE("https://lmztiles.s3.eu-west-1.amazonaws.com/Modern_Interiors_v41.3.4/1_Interiors/16x16/Theme_Sorter_Singles/22_Museum_Singles/Museum_Singles_389.png")</f>
        <v/>
      </c>
    </row>
    <row r="389" ht="42.0" customHeight="1">
      <c r="A389" s="16" t="s">
        <v>5486</v>
      </c>
      <c r="B389" s="16" t="str">
        <f>IMAGE("https://lmztiles.s3.eu-west-1.amazonaws.com/Modern_Interiors_v41.3.4/1_Interiors/16x16/Theme_Sorter_Singles/22_Museum_Singles/Museum_Singles_390.png")</f>
        <v/>
      </c>
    </row>
    <row r="390" ht="42.0" customHeight="1">
      <c r="A390" s="16" t="s">
        <v>5487</v>
      </c>
      <c r="B390" s="16" t="str">
        <f>IMAGE("https://lmztiles.s3.eu-west-1.amazonaws.com/Modern_Interiors_v41.3.4/1_Interiors/16x16/Theme_Sorter_Singles/22_Museum_Singles/Museum_Singles_391.png")</f>
        <v/>
      </c>
    </row>
    <row r="391" ht="42.0" customHeight="1">
      <c r="A391" s="16" t="s">
        <v>5488</v>
      </c>
      <c r="B391" s="16" t="str">
        <f>IMAGE("https://lmztiles.s3.eu-west-1.amazonaws.com/Modern_Interiors_v41.3.4/1_Interiors/16x16/Theme_Sorter_Singles/22_Museum_Singles/Museum_Singles_392.png")</f>
        <v/>
      </c>
    </row>
    <row r="392" ht="42.0" customHeight="1">
      <c r="A392" s="16" t="s">
        <v>5489</v>
      </c>
      <c r="B392" s="16" t="str">
        <f>IMAGE("https://lmztiles.s3.eu-west-1.amazonaws.com/Modern_Interiors_v41.3.4/1_Interiors/16x16/Theme_Sorter_Singles/22_Museum_Singles/Museum_Singles_393.png")</f>
        <v/>
      </c>
    </row>
    <row r="393" ht="42.0" customHeight="1">
      <c r="A393" s="16" t="s">
        <v>5490</v>
      </c>
      <c r="B393" s="16" t="str">
        <f>IMAGE("https://lmztiles.s3.eu-west-1.amazonaws.com/Modern_Interiors_v41.3.4/1_Interiors/16x16/Theme_Sorter_Singles/22_Museum_Singles/Museum_Singles_394.png")</f>
        <v/>
      </c>
    </row>
    <row r="394" ht="42.0" customHeight="1">
      <c r="A394" s="16" t="s">
        <v>5491</v>
      </c>
      <c r="B394" s="16" t="str">
        <f>IMAGE("https://lmztiles.s3.eu-west-1.amazonaws.com/Modern_Interiors_v41.3.4/1_Interiors/16x16/Theme_Sorter_Singles/22_Museum_Singles/Museum_Singles_395.png")</f>
        <v/>
      </c>
    </row>
    <row r="395" ht="42.0" customHeight="1">
      <c r="A395" s="16" t="s">
        <v>5492</v>
      </c>
      <c r="B395" s="16" t="str">
        <f>IMAGE("https://lmztiles.s3.eu-west-1.amazonaws.com/Modern_Interiors_v41.3.4/1_Interiors/16x16/Theme_Sorter_Singles/22_Museum_Singles/Museum_Singles_396.png")</f>
        <v/>
      </c>
    </row>
    <row r="396" ht="42.0" customHeight="1">
      <c r="A396" s="16" t="s">
        <v>5493</v>
      </c>
      <c r="B396" s="16" t="str">
        <f>IMAGE("https://lmztiles.s3.eu-west-1.amazonaws.com/Modern_Interiors_v41.3.4/1_Interiors/16x16/Theme_Sorter_Singles/22_Museum_Singles/Museum_Singles_397.png")</f>
        <v/>
      </c>
    </row>
    <row r="397" ht="42.0" customHeight="1">
      <c r="A397" s="16" t="s">
        <v>5494</v>
      </c>
      <c r="B397" s="16" t="str">
        <f>IMAGE("https://lmztiles.s3.eu-west-1.amazonaws.com/Modern_Interiors_v41.3.4/1_Interiors/16x16/Theme_Sorter_Singles/22_Museum_Singles/Museum_Singles_398.png")</f>
        <v/>
      </c>
    </row>
    <row r="398" ht="42.0" customHeight="1">
      <c r="A398" s="16" t="s">
        <v>5495</v>
      </c>
      <c r="B398" s="16" t="str">
        <f>IMAGE("https://lmztiles.s3.eu-west-1.amazonaws.com/Modern_Interiors_v41.3.4/1_Interiors/16x16/Theme_Sorter_Singles/22_Museum_Singles/Museum_Singles_399.png")</f>
        <v/>
      </c>
    </row>
    <row r="399" ht="42.0" customHeight="1">
      <c r="A399" s="16" t="s">
        <v>5496</v>
      </c>
      <c r="B399" s="16" t="str">
        <f>IMAGE("https://lmztiles.s3.eu-west-1.amazonaws.com/Modern_Interiors_v41.3.4/1_Interiors/16x16/Theme_Sorter_Singles/22_Museum_Singles/Museum_Singles_400.png")</f>
        <v/>
      </c>
    </row>
    <row r="400" ht="42.0" customHeight="1">
      <c r="A400" s="16" t="s">
        <v>5497</v>
      </c>
      <c r="B400" s="16" t="str">
        <f>IMAGE("https://lmztiles.s3.eu-west-1.amazonaws.com/Modern_Interiors_v41.3.4/1_Interiors/16x16/Theme_Sorter_Singles/22_Museum_Singles/Museum_Singles_401.png")</f>
        <v/>
      </c>
    </row>
    <row r="401" ht="42.0" customHeight="1">
      <c r="A401" s="16" t="s">
        <v>5498</v>
      </c>
      <c r="B401" s="16" t="str">
        <f>IMAGE("https://lmztiles.s3.eu-west-1.amazonaws.com/Modern_Interiors_v41.3.4/1_Interiors/16x16/Theme_Sorter_Singles/22_Museum_Singles/Museum_Singles_402.png")</f>
        <v/>
      </c>
    </row>
    <row r="402" ht="42.0" customHeight="1">
      <c r="A402" s="16" t="s">
        <v>5499</v>
      </c>
      <c r="B402" s="16" t="str">
        <f>IMAGE("https://lmztiles.s3.eu-west-1.amazonaws.com/Modern_Interiors_v41.3.4/1_Interiors/16x16/Theme_Sorter_Singles/22_Museum_Singles/Museum_Singles_403.png")</f>
        <v/>
      </c>
    </row>
    <row r="403" ht="42.0" customHeight="1">
      <c r="A403" s="16" t="s">
        <v>5500</v>
      </c>
      <c r="B403" s="16" t="str">
        <f>IMAGE("https://lmztiles.s3.eu-west-1.amazonaws.com/Modern_Interiors_v41.3.4/1_Interiors/16x16/Theme_Sorter_Singles/22_Museum_Singles/Museum_Singles_404.png")</f>
        <v/>
      </c>
    </row>
    <row r="404" ht="42.0" customHeight="1">
      <c r="A404" s="16" t="s">
        <v>5501</v>
      </c>
      <c r="B404" s="16" t="str">
        <f>IMAGE("https://lmztiles.s3.eu-west-1.amazonaws.com/Modern_Interiors_v41.3.4/1_Interiors/16x16/Theme_Sorter_Singles/22_Museum_Singles/Museum_Singles_405.png")</f>
        <v/>
      </c>
    </row>
    <row r="405" ht="42.0" customHeight="1">
      <c r="A405" s="16" t="s">
        <v>5502</v>
      </c>
      <c r="B405" s="16" t="str">
        <f>IMAGE("https://lmztiles.s3.eu-west-1.amazonaws.com/Modern_Interiors_v41.3.4/1_Interiors/16x16/Theme_Sorter_Singles/22_Museum_Singles/Museum_Singles_406.png")</f>
        <v/>
      </c>
    </row>
    <row r="406" ht="42.0" customHeight="1">
      <c r="A406" s="16" t="s">
        <v>5503</v>
      </c>
      <c r="B406" s="16" t="str">
        <f>IMAGE("https://lmztiles.s3.eu-west-1.amazonaws.com/Modern_Interiors_v41.3.4/1_Interiors/16x16/Theme_Sorter_Singles/22_Museum_Singles/Museum_Singles_407.png")</f>
        <v/>
      </c>
    </row>
    <row r="407" ht="42.0" customHeight="1">
      <c r="A407" s="16" t="s">
        <v>5504</v>
      </c>
      <c r="B407" s="16" t="str">
        <f>IMAGE("https://lmztiles.s3.eu-west-1.amazonaws.com/Modern_Interiors_v41.3.4/1_Interiors/16x16/Theme_Sorter_Singles/22_Museum_Singles/Museum_Singles_408.png")</f>
        <v/>
      </c>
    </row>
    <row r="408" ht="42.0" customHeight="1">
      <c r="A408" s="16" t="s">
        <v>5505</v>
      </c>
      <c r="B408" s="16" t="str">
        <f>IMAGE("https://lmztiles.s3.eu-west-1.amazonaws.com/Modern_Interiors_v41.3.4/1_Interiors/16x16/Theme_Sorter_Singles/22_Museum_Singles/Museum_Singles_409.png")</f>
        <v/>
      </c>
    </row>
    <row r="409" ht="42.0" customHeight="1">
      <c r="A409" s="16" t="s">
        <v>5506</v>
      </c>
      <c r="B409" s="16" t="str">
        <f>IMAGE("https://lmztiles.s3.eu-west-1.amazonaws.com/Modern_Interiors_v41.3.4/1_Interiors/16x16/Theme_Sorter_Singles/22_Museum_Singles/Museum_Singles_410.png")</f>
        <v/>
      </c>
    </row>
    <row r="410" ht="42.0" customHeight="1">
      <c r="A410" s="16" t="s">
        <v>5507</v>
      </c>
      <c r="B410" s="16" t="str">
        <f>IMAGE("https://lmztiles.s3.eu-west-1.amazonaws.com/Modern_Interiors_v41.3.4/1_Interiors/16x16/Theme_Sorter_Singles/22_Museum_Singles/Museum_Singles_411.png")</f>
        <v/>
      </c>
    </row>
    <row r="411" ht="42.0" customHeight="1">
      <c r="A411" s="16" t="s">
        <v>5508</v>
      </c>
      <c r="B411" s="16" t="str">
        <f>IMAGE("https://lmztiles.s3.eu-west-1.amazonaws.com/Modern_Interiors_v41.3.4/1_Interiors/16x16/Theme_Sorter_Singles/22_Museum_Singles/Museum_Singles_412.png")</f>
        <v/>
      </c>
    </row>
    <row r="412" ht="42.0" customHeight="1">
      <c r="A412" s="16" t="s">
        <v>5509</v>
      </c>
      <c r="B412" s="16" t="str">
        <f>IMAGE("https://lmztiles.s3.eu-west-1.amazonaws.com/Modern_Interiors_v41.3.4/1_Interiors/16x16/Theme_Sorter_Singles/22_Museum_Singles/Museum_Singles_413.png")</f>
        <v/>
      </c>
    </row>
    <row r="413" ht="42.0" customHeight="1">
      <c r="A413" s="16" t="s">
        <v>5510</v>
      </c>
      <c r="B413" s="16" t="str">
        <f>IMAGE("https://lmztiles.s3.eu-west-1.amazonaws.com/Modern_Interiors_v41.3.4/1_Interiors/16x16/Theme_Sorter_Singles/22_Museum_Singles/Museum_Singles_414.png")</f>
        <v/>
      </c>
    </row>
    <row r="414" ht="42.0" customHeight="1">
      <c r="A414" s="16" t="s">
        <v>5511</v>
      </c>
      <c r="B414" s="16" t="str">
        <f>IMAGE("https://lmztiles.s3.eu-west-1.amazonaws.com/Modern_Interiors_v41.3.4/1_Interiors/16x16/Theme_Sorter_Singles/22_Museum_Singles/Museum_Singles_415.png")</f>
        <v/>
      </c>
    </row>
    <row r="415" ht="42.0" customHeight="1">
      <c r="A415" s="16" t="s">
        <v>5512</v>
      </c>
      <c r="B415" s="16" t="str">
        <f>IMAGE("https://lmztiles.s3.eu-west-1.amazonaws.com/Modern_Interiors_v41.3.4/1_Interiors/16x16/Theme_Sorter_Singles/22_Museum_Singles/Museum_Singles_416.png")</f>
        <v/>
      </c>
    </row>
    <row r="416" ht="42.0" customHeight="1">
      <c r="A416" s="16" t="s">
        <v>5513</v>
      </c>
      <c r="B416" s="16" t="str">
        <f>IMAGE("https://lmztiles.s3.eu-west-1.amazonaws.com/Modern_Interiors_v41.3.4/1_Interiors/16x16/Theme_Sorter_Singles/22_Museum_Singles/Museum_Singles_417.png")</f>
        <v/>
      </c>
    </row>
    <row r="417" ht="42.0" customHeight="1">
      <c r="A417" s="16" t="s">
        <v>5514</v>
      </c>
      <c r="B417" s="16" t="str">
        <f>IMAGE("https://lmztiles.s3.eu-west-1.amazonaws.com/Modern_Interiors_v41.3.4/1_Interiors/16x16/Theme_Sorter_Singles/22_Museum_Singles/Museum_Singles_418.png")</f>
        <v/>
      </c>
    </row>
    <row r="418" ht="42.0" customHeight="1">
      <c r="A418" s="16" t="s">
        <v>5515</v>
      </c>
      <c r="B418" s="16" t="str">
        <f>IMAGE("https://lmztiles.s3.eu-west-1.amazonaws.com/Modern_Interiors_v41.3.4/1_Interiors/16x16/Theme_Sorter_Singles/22_Museum_Singles/Museum_Singles_419.png")</f>
        <v/>
      </c>
    </row>
    <row r="419" ht="42.0" customHeight="1">
      <c r="A419" s="16" t="s">
        <v>5516</v>
      </c>
      <c r="B419" s="16" t="str">
        <f>IMAGE("https://lmztiles.s3.eu-west-1.amazonaws.com/Modern_Interiors_v41.3.4/1_Interiors/16x16/Theme_Sorter_Singles/22_Museum_Singles/Museum_Singles_420.png")</f>
        <v/>
      </c>
    </row>
    <row r="420" ht="42.0" customHeight="1">
      <c r="A420" s="16" t="s">
        <v>5517</v>
      </c>
      <c r="B420" s="16" t="str">
        <f>IMAGE("https://lmztiles.s3.eu-west-1.amazonaws.com/Modern_Interiors_v41.3.4/1_Interiors/16x16/Theme_Sorter_Singles/22_Museum_Singles/Museum_Singles_421.png")</f>
        <v/>
      </c>
    </row>
    <row r="421" ht="42.0" customHeight="1">
      <c r="A421" s="16" t="s">
        <v>5518</v>
      </c>
      <c r="B421" s="16" t="str">
        <f>IMAGE("https://lmztiles.s3.eu-west-1.amazonaws.com/Modern_Interiors_v41.3.4/1_Interiors/16x16/Theme_Sorter_Singles/22_Museum_Singles/Museum_Singles_422.png")</f>
        <v/>
      </c>
    </row>
    <row r="422" ht="42.0" customHeight="1">
      <c r="A422" s="16" t="s">
        <v>5519</v>
      </c>
      <c r="B422" s="16" t="str">
        <f>IMAGE("https://lmztiles.s3.eu-west-1.amazonaws.com/Modern_Interiors_v41.3.4/1_Interiors/16x16/Theme_Sorter_Singles/22_Museum_Singles/Museum_Singles_423.png")</f>
        <v/>
      </c>
    </row>
    <row r="423" ht="42.0" customHeight="1">
      <c r="A423" s="16" t="s">
        <v>5520</v>
      </c>
      <c r="B423" s="16" t="str">
        <f>IMAGE("https://lmztiles.s3.eu-west-1.amazonaws.com/Modern_Interiors_v41.3.4/1_Interiors/16x16/Theme_Sorter_Singles/22_Museum_Singles/Museum_Singles_424.png")</f>
        <v/>
      </c>
    </row>
    <row r="424" ht="42.0" customHeight="1">
      <c r="A424" s="16" t="s">
        <v>5521</v>
      </c>
      <c r="B424" s="16" t="str">
        <f>IMAGE("https://lmztiles.s3.eu-west-1.amazonaws.com/Modern_Interiors_v41.3.4/1_Interiors/16x16/Theme_Sorter_Singles/22_Museum_Singles/Museum_Singles_425.png")</f>
        <v/>
      </c>
    </row>
    <row r="425" ht="42.0" customHeight="1">
      <c r="A425" s="16" t="s">
        <v>5522</v>
      </c>
      <c r="B425" s="16" t="str">
        <f>IMAGE("https://lmztiles.s3.eu-west-1.amazonaws.com/Modern_Interiors_v41.3.4/1_Interiors/16x16/Theme_Sorter_Singles/22_Museum_Singles/Museum_Singles_426.png")</f>
        <v/>
      </c>
    </row>
    <row r="426" ht="42.0" customHeight="1">
      <c r="A426" s="16" t="s">
        <v>5523</v>
      </c>
      <c r="B426" s="16" t="str">
        <f>IMAGE("https://lmztiles.s3.eu-west-1.amazonaws.com/Modern_Interiors_v41.3.4/1_Interiors/16x16/Theme_Sorter_Singles/22_Museum_Singles/Museum_Singles_427.png")</f>
        <v/>
      </c>
    </row>
    <row r="427" ht="42.0" customHeight="1">
      <c r="A427" s="16" t="s">
        <v>5524</v>
      </c>
      <c r="B427" s="16" t="str">
        <f>IMAGE("https://lmztiles.s3.eu-west-1.amazonaws.com/Modern_Interiors_v41.3.4/1_Interiors/16x16/Theme_Sorter_Singles/22_Museum_Singles/Museum_Singles_428.png")</f>
        <v/>
      </c>
    </row>
    <row r="428" ht="42.0" customHeight="1">
      <c r="A428" s="16" t="s">
        <v>5525</v>
      </c>
      <c r="B428" s="16" t="str">
        <f>IMAGE("https://lmztiles.s3.eu-west-1.amazonaws.com/Modern_Interiors_v41.3.4/1_Interiors/16x16/Theme_Sorter_Singles/22_Museum_Singles/Museum_Singles_429.png")</f>
        <v/>
      </c>
    </row>
    <row r="429" ht="42.0" customHeight="1">
      <c r="A429" s="16" t="s">
        <v>5526</v>
      </c>
      <c r="B429" s="16" t="str">
        <f>IMAGE("https://lmztiles.s3.eu-west-1.amazonaws.com/Modern_Interiors_v41.3.4/1_Interiors/16x16/Theme_Sorter_Singles/22_Museum_Singles/Museum_Singles_430.png")</f>
        <v/>
      </c>
    </row>
    <row r="430" ht="42.0" customHeight="1">
      <c r="A430" s="16" t="s">
        <v>5527</v>
      </c>
      <c r="B430" s="16" t="str">
        <f>IMAGE("https://lmztiles.s3.eu-west-1.amazonaws.com/Modern_Interiors_v41.3.4/1_Interiors/16x16/Theme_Sorter_Singles/22_Museum_Singles/Museum_Singles_431.png")</f>
        <v/>
      </c>
    </row>
    <row r="431" ht="42.0" customHeight="1">
      <c r="A431" s="16" t="s">
        <v>5528</v>
      </c>
      <c r="B431" s="16" t="str">
        <f>IMAGE("https://lmztiles.s3.eu-west-1.amazonaws.com/Modern_Interiors_v41.3.4/1_Interiors/16x16/Theme_Sorter_Singles/22_Museum_Singles/Museum_Singles_432.png")</f>
        <v/>
      </c>
    </row>
    <row r="432" ht="42.0" customHeight="1">
      <c r="A432" s="16" t="s">
        <v>5529</v>
      </c>
      <c r="B432" s="16" t="str">
        <f>IMAGE("https://lmztiles.s3.eu-west-1.amazonaws.com/Modern_Interiors_v41.3.4/1_Interiors/16x16/Theme_Sorter_Singles/22_Museum_Singles/Museum_Singles_433.png")</f>
        <v/>
      </c>
    </row>
    <row r="433" ht="42.0" customHeight="1">
      <c r="A433" s="16" t="s">
        <v>5530</v>
      </c>
      <c r="B433" s="16" t="str">
        <f>IMAGE("https://lmztiles.s3.eu-west-1.amazonaws.com/Modern_Interiors_v41.3.4/1_Interiors/16x16/Theme_Sorter_Singles/22_Museum_Singles/Museum_Singles_434.png")</f>
        <v/>
      </c>
    </row>
    <row r="434" ht="42.0" customHeight="1">
      <c r="A434" s="16" t="s">
        <v>5531</v>
      </c>
      <c r="B434" s="16" t="str">
        <f>IMAGE("https://lmztiles.s3.eu-west-1.amazonaws.com/Modern_Interiors_v41.3.4/1_Interiors/16x16/Theme_Sorter_Singles/22_Museum_Singles/Museum_Singles_435.png")</f>
        <v/>
      </c>
    </row>
    <row r="435" ht="42.0" customHeight="1">
      <c r="A435" s="16" t="s">
        <v>5532</v>
      </c>
      <c r="B435" s="16" t="str">
        <f>IMAGE("https://lmztiles.s3.eu-west-1.amazonaws.com/Modern_Interiors_v41.3.4/1_Interiors/16x16/Theme_Sorter_Singles/22_Museum_Singles/Museum_Singles_436.png")</f>
        <v/>
      </c>
    </row>
    <row r="436" ht="42.0" customHeight="1">
      <c r="A436" s="16" t="s">
        <v>5533</v>
      </c>
      <c r="B436" s="16" t="str">
        <f>IMAGE("https://lmztiles.s3.eu-west-1.amazonaws.com/Modern_Interiors_v41.3.4/1_Interiors/16x16/Theme_Sorter_Singles/22_Museum_Singles/Museum_Singles_437.png")</f>
        <v/>
      </c>
    </row>
    <row r="437" ht="42.0" customHeight="1">
      <c r="A437" s="16" t="s">
        <v>5534</v>
      </c>
      <c r="B437" s="16" t="str">
        <f>IMAGE("https://lmztiles.s3.eu-west-1.amazonaws.com/Modern_Interiors_v41.3.4/1_Interiors/16x16/Theme_Sorter_Singles/22_Museum_Singles/Museum_Singles_438.png")</f>
        <v/>
      </c>
    </row>
    <row r="438" ht="42.0" customHeight="1">
      <c r="A438" s="16" t="s">
        <v>5535</v>
      </c>
      <c r="B438" s="16" t="str">
        <f>IMAGE("https://lmztiles.s3.eu-west-1.amazonaws.com/Modern_Interiors_v41.3.4/1_Interiors/16x16/Theme_Sorter_Singles/22_Museum_Singles/Museum_Singles_439.png")</f>
        <v/>
      </c>
    </row>
    <row r="439" ht="42.0" customHeight="1">
      <c r="A439" s="16" t="s">
        <v>5536</v>
      </c>
      <c r="B439" s="16" t="str">
        <f>IMAGE("https://lmztiles.s3.eu-west-1.amazonaws.com/Modern_Interiors_v41.3.4/1_Interiors/16x16/Theme_Sorter_Singles/22_Museum_Singles/Museum_Singles_440.png")</f>
        <v/>
      </c>
    </row>
    <row r="440" ht="42.0" customHeight="1">
      <c r="A440" s="16" t="s">
        <v>5537</v>
      </c>
      <c r="B440" s="16" t="str">
        <f>IMAGE("https://lmztiles.s3.eu-west-1.amazonaws.com/Modern_Interiors_v41.3.4/1_Interiors/16x16/Theme_Sorter_Singles/22_Museum_Singles/Museum_Singles_441.png")</f>
        <v/>
      </c>
    </row>
    <row r="441" ht="42.0" customHeight="1">
      <c r="A441" s="16" t="s">
        <v>5538</v>
      </c>
      <c r="B441" s="16" t="str">
        <f>IMAGE("https://lmztiles.s3.eu-west-1.amazonaws.com/Modern_Interiors_v41.3.4/1_Interiors/16x16/Theme_Sorter_Singles/22_Museum_Singles/Museum_Singles_442.png")</f>
        <v/>
      </c>
    </row>
    <row r="442" ht="42.0" customHeight="1">
      <c r="A442" s="16" t="s">
        <v>5539</v>
      </c>
      <c r="B442" s="16" t="str">
        <f>IMAGE("https://lmztiles.s3.eu-west-1.amazonaws.com/Modern_Interiors_v41.3.4/1_Interiors/16x16/Theme_Sorter_Singles/22_Museum_Singles/Museum_Singles_443.png")</f>
        <v/>
      </c>
    </row>
    <row r="443" ht="42.0" customHeight="1">
      <c r="A443" s="16" t="s">
        <v>5540</v>
      </c>
      <c r="B443" s="16" t="str">
        <f>IMAGE("https://lmztiles.s3.eu-west-1.amazonaws.com/Modern_Interiors_v41.3.4/1_Interiors/16x16/Theme_Sorter_Singles/22_Museum_Singles/Museum_Singles_444.png")</f>
        <v/>
      </c>
    </row>
    <row r="444" ht="42.0" customHeight="1">
      <c r="A444" s="16" t="s">
        <v>5541</v>
      </c>
      <c r="B444" s="16" t="str">
        <f>IMAGE("https://lmztiles.s3.eu-west-1.amazonaws.com/Modern_Interiors_v41.3.4/1_Interiors/16x16/Theme_Sorter_Singles/22_Museum_Singles/Museum_Singles_445.png")</f>
        <v/>
      </c>
    </row>
    <row r="445" ht="42.0" customHeight="1">
      <c r="A445" s="16" t="s">
        <v>5542</v>
      </c>
      <c r="B445" s="16" t="str">
        <f>IMAGE("https://lmztiles.s3.eu-west-1.amazonaws.com/Modern_Interiors_v41.3.4/1_Interiors/16x16/Theme_Sorter_Singles/22_Museum_Singles/Museum_Singles_446.png")</f>
        <v/>
      </c>
    </row>
    <row r="446" ht="42.0" customHeight="1">
      <c r="A446" s="16" t="s">
        <v>5543</v>
      </c>
      <c r="B446" s="16" t="str">
        <f>IMAGE("https://lmztiles.s3.eu-west-1.amazonaws.com/Modern_Interiors_v41.3.4/1_Interiors/16x16/Theme_Sorter_Singles/22_Museum_Singles/Museum_Singles_447.png")</f>
        <v/>
      </c>
    </row>
    <row r="447" ht="42.0" customHeight="1">
      <c r="A447" s="16" t="s">
        <v>5544</v>
      </c>
      <c r="B447" s="16" t="str">
        <f>IMAGE("https://lmztiles.s3.eu-west-1.amazonaws.com/Modern_Interiors_v41.3.4/1_Interiors/16x16/Theme_Sorter_Singles/22_Museum_Singles/Museum_Singles_448.png")</f>
        <v/>
      </c>
    </row>
    <row r="448" ht="42.0" customHeight="1">
      <c r="A448" s="16" t="s">
        <v>5545</v>
      </c>
      <c r="B448" s="16" t="str">
        <f>IMAGE("https://lmztiles.s3.eu-west-1.amazonaws.com/Modern_Interiors_v41.3.4/1_Interiors/16x16/Theme_Sorter_Singles/22_Museum_Singles/Museum_Singles_449.png")</f>
        <v/>
      </c>
    </row>
    <row r="449" ht="42.0" customHeight="1">
      <c r="A449" s="16" t="s">
        <v>5546</v>
      </c>
      <c r="B449" s="16" t="str">
        <f>IMAGE("https://lmztiles.s3.eu-west-1.amazonaws.com/Modern_Interiors_v41.3.4/1_Interiors/16x16/Theme_Sorter_Singles/22_Museum_Singles/Museum_Singles_450.png")</f>
        <v/>
      </c>
    </row>
    <row r="450" ht="42.0" customHeight="1">
      <c r="A450" s="16" t="s">
        <v>5547</v>
      </c>
      <c r="B450" s="16" t="str">
        <f>IMAGE("https://lmztiles.s3.eu-west-1.amazonaws.com/Modern_Interiors_v41.3.4/1_Interiors/16x16/Theme_Sorter_Singles/22_Museum_Singles/Museum_Singles_451.png")</f>
        <v/>
      </c>
    </row>
    <row r="451" ht="42.0" customHeight="1"/>
    <row r="452" ht="42.0" customHeight="1"/>
    <row r="453" ht="42.0" customHeight="1"/>
    <row r="454" ht="42.0" customHeight="1"/>
    <row r="455" ht="42.0" customHeight="1"/>
    <row r="456" ht="42.0" customHeight="1"/>
    <row r="457" ht="42.0" customHeight="1"/>
    <row r="458" ht="42.0" customHeight="1"/>
    <row r="459" ht="42.0" customHeight="1"/>
    <row r="460" ht="42.0" customHeight="1"/>
    <row r="461" ht="42.0" customHeight="1"/>
    <row r="462" ht="42.0" customHeight="1"/>
    <row r="463" ht="42.0" customHeight="1"/>
    <row r="464" ht="42.0" customHeight="1"/>
    <row r="465" ht="42.0" customHeight="1"/>
    <row r="466" ht="42.0" customHeight="1"/>
    <row r="467" ht="42.0" customHeight="1"/>
    <row r="468" ht="42.0" customHeight="1"/>
    <row r="469" ht="42.0" customHeight="1"/>
    <row r="470" ht="42.0" customHeight="1"/>
    <row r="471" ht="42.0" customHeight="1"/>
    <row r="472" ht="42.0" customHeight="1"/>
    <row r="473" ht="42.0" customHeight="1"/>
    <row r="474" ht="42.0" customHeight="1"/>
    <row r="475" ht="42.0" customHeight="1"/>
    <row r="476" ht="42.0" customHeight="1"/>
    <row r="477" ht="42.0" customHeight="1"/>
    <row r="478" ht="42.0" customHeight="1"/>
    <row r="479" ht="42.0" customHeight="1"/>
    <row r="480" ht="42.0" customHeight="1"/>
    <row r="481" ht="42.0" customHeight="1"/>
    <row r="482" ht="42.0" customHeight="1"/>
    <row r="483" ht="42.0" customHeight="1"/>
    <row r="484" ht="42.0" customHeight="1"/>
    <row r="485" ht="42.0" customHeight="1"/>
    <row r="486" ht="42.0" customHeight="1"/>
    <row r="487" ht="42.0" customHeight="1"/>
    <row r="488" ht="42.0" customHeight="1"/>
    <row r="489" ht="42.0" customHeight="1"/>
    <row r="490" ht="42.0" customHeight="1"/>
    <row r="491" ht="42.0" customHeight="1"/>
    <row r="492" ht="42.0" customHeight="1"/>
    <row r="493" ht="42.0" customHeight="1"/>
    <row r="494" ht="42.0" customHeight="1"/>
    <row r="495" ht="42.0" customHeight="1"/>
    <row r="496" ht="42.0" customHeight="1"/>
    <row r="497" ht="42.0" customHeight="1"/>
    <row r="498" ht="42.0" customHeight="1"/>
    <row r="499" ht="42.0" customHeight="1"/>
    <row r="500" ht="42.0" customHeight="1"/>
    <row r="501" ht="42.0" customHeight="1"/>
    <row r="502" ht="42.0" customHeight="1"/>
    <row r="503" ht="42.0" customHeight="1"/>
    <row r="504" ht="42.0" customHeight="1"/>
    <row r="505" ht="42.0" customHeight="1"/>
    <row r="506" ht="42.0" customHeight="1"/>
    <row r="507" ht="42.0" customHeight="1"/>
    <row r="508" ht="42.0" customHeight="1"/>
    <row r="509" ht="42.0" customHeight="1"/>
    <row r="510" ht="42.0" customHeight="1"/>
    <row r="511" ht="42.0" customHeight="1"/>
    <row r="512" ht="42.0" customHeight="1"/>
    <row r="513" ht="42.0" customHeight="1"/>
    <row r="514" ht="42.0" customHeight="1"/>
    <row r="515" ht="42.0" customHeight="1"/>
    <row r="516" ht="42.0" customHeight="1"/>
    <row r="517" ht="42.0" customHeight="1"/>
    <row r="518" ht="42.0" customHeight="1"/>
    <row r="519" ht="42.0" customHeight="1"/>
    <row r="520" ht="42.0" customHeight="1"/>
    <row r="521" ht="42.0" customHeight="1"/>
    <row r="522" ht="42.0" customHeight="1"/>
    <row r="523" ht="42.0" customHeight="1"/>
    <row r="524" ht="42.0" customHeight="1"/>
    <row r="525" ht="42.0" customHeight="1"/>
    <row r="526" ht="42.0" customHeight="1"/>
    <row r="527" ht="42.0" customHeight="1"/>
    <row r="528" ht="42.0" customHeight="1"/>
    <row r="529" ht="42.0" customHeight="1"/>
    <row r="530" ht="42.0" customHeight="1"/>
    <row r="531" ht="42.0" customHeight="1"/>
    <row r="532" ht="42.0" customHeight="1"/>
    <row r="533" ht="42.0" customHeight="1"/>
    <row r="534" ht="42.0" customHeight="1"/>
    <row r="535" ht="42.0" customHeight="1"/>
    <row r="536" ht="42.0" customHeight="1"/>
    <row r="537" ht="42.0" customHeight="1"/>
    <row r="538" ht="42.0" customHeight="1"/>
    <row r="539" ht="42.0" customHeight="1"/>
    <row r="540" ht="42.0" customHeight="1"/>
    <row r="541" ht="42.0" customHeight="1"/>
    <row r="542" ht="42.0" customHeight="1"/>
    <row r="543" ht="42.0" customHeight="1"/>
    <row r="544" ht="42.0" customHeight="1"/>
    <row r="545" ht="42.0" customHeight="1"/>
    <row r="546" ht="42.0" customHeight="1"/>
    <row r="547" ht="42.0" customHeight="1"/>
    <row r="548" ht="42.0" customHeight="1"/>
    <row r="549" ht="42.0" customHeight="1"/>
    <row r="550" ht="42.0" customHeight="1"/>
    <row r="551" ht="42.0" customHeight="1"/>
    <row r="552" ht="42.0" customHeight="1"/>
    <row r="553" ht="42.0" customHeight="1"/>
    <row r="554" ht="42.0" customHeight="1"/>
    <row r="555" ht="42.0" customHeight="1"/>
    <row r="556" ht="42.0" customHeight="1"/>
    <row r="557" ht="42.0" customHeight="1"/>
    <row r="558" ht="42.0" customHeight="1"/>
    <row r="559" ht="42.0" customHeight="1"/>
    <row r="560" ht="42.0" customHeight="1"/>
    <row r="561" ht="42.0" customHeight="1"/>
    <row r="562" ht="42.0" customHeight="1"/>
    <row r="563" ht="42.0" customHeight="1"/>
    <row r="564" ht="42.0" customHeight="1"/>
    <row r="565" ht="42.0" customHeight="1"/>
    <row r="566" ht="42.0" customHeight="1"/>
    <row r="567" ht="42.0" customHeight="1"/>
    <row r="568" ht="42.0" customHeight="1"/>
    <row r="569" ht="42.0" customHeight="1"/>
    <row r="570" ht="42.0" customHeight="1"/>
    <row r="571" ht="42.0" customHeight="1"/>
    <row r="572" ht="42.0" customHeight="1"/>
    <row r="573" ht="42.0" customHeight="1"/>
    <row r="574" ht="42.0" customHeight="1"/>
    <row r="575" ht="42.0" customHeight="1"/>
    <row r="576" ht="42.0" customHeight="1"/>
    <row r="577" ht="42.0" customHeight="1"/>
    <row r="578" ht="42.0" customHeight="1"/>
    <row r="579" ht="42.0" customHeight="1"/>
    <row r="580" ht="42.0" customHeight="1"/>
    <row r="581" ht="42.0" customHeight="1"/>
    <row r="582" ht="42.0" customHeight="1"/>
    <row r="583" ht="42.0" customHeight="1"/>
    <row r="584" ht="42.0" customHeight="1"/>
    <row r="585" ht="42.0" customHeight="1"/>
    <row r="586" ht="42.0" customHeight="1"/>
    <row r="587" ht="42.0" customHeight="1"/>
    <row r="588" ht="42.0" customHeight="1"/>
    <row r="589" ht="42.0" customHeight="1"/>
    <row r="590" ht="42.0" customHeight="1"/>
    <row r="591" ht="42.0" customHeight="1"/>
    <row r="592" ht="42.0" customHeight="1"/>
    <row r="593" ht="42.0" customHeight="1"/>
    <row r="594" ht="42.0" customHeight="1"/>
    <row r="595" ht="42.0" customHeight="1"/>
    <row r="596" ht="42.0" customHeight="1"/>
    <row r="597" ht="42.0" customHeight="1"/>
    <row r="598" ht="42.0" customHeight="1"/>
    <row r="599" ht="42.0" customHeight="1"/>
    <row r="600" ht="42.0" customHeight="1"/>
    <row r="601" ht="42.0" customHeight="1"/>
    <row r="602" ht="42.0" customHeight="1"/>
    <row r="603" ht="42.0" customHeight="1"/>
    <row r="604" ht="42.0" customHeight="1"/>
    <row r="605" ht="42.0" customHeight="1"/>
    <row r="606" ht="42.0" customHeight="1"/>
    <row r="607" ht="42.0" customHeight="1"/>
    <row r="608" ht="42.0" customHeight="1"/>
    <row r="609" ht="42.0" customHeight="1"/>
    <row r="610" ht="42.0" customHeight="1"/>
    <row r="611" ht="42.0" customHeight="1"/>
    <row r="612" ht="42.0" customHeight="1"/>
    <row r="613" ht="42.0" customHeight="1"/>
    <row r="614" ht="42.0" customHeight="1"/>
    <row r="615" ht="42.0" customHeight="1"/>
    <row r="616" ht="42.0" customHeight="1"/>
    <row r="617" ht="42.0" customHeight="1"/>
    <row r="618" ht="42.0" customHeight="1"/>
    <row r="619" ht="42.0" customHeight="1"/>
    <row r="620" ht="42.0" customHeight="1"/>
    <row r="621" ht="42.0" customHeight="1"/>
    <row r="622" ht="42.0" customHeight="1"/>
    <row r="623" ht="42.0" customHeight="1"/>
    <row r="624" ht="42.0" customHeight="1"/>
    <row r="625" ht="42.0" customHeight="1"/>
    <row r="626" ht="42.0" customHeight="1"/>
    <row r="627" ht="42.0" customHeight="1"/>
    <row r="628" ht="42.0" customHeight="1"/>
    <row r="629" ht="42.0" customHeight="1"/>
    <row r="630" ht="42.0" customHeight="1"/>
    <row r="631" ht="42.0" customHeight="1"/>
    <row r="632" ht="42.0" customHeight="1"/>
    <row r="633" ht="42.0" customHeight="1"/>
    <row r="634" ht="42.0" customHeight="1"/>
    <row r="635" ht="42.0" customHeight="1"/>
    <row r="636" ht="42.0" customHeight="1"/>
    <row r="637" ht="42.0" customHeight="1"/>
    <row r="638" ht="42.0" customHeight="1"/>
    <row r="639" ht="42.0" customHeight="1"/>
    <row r="640" ht="42.0" customHeight="1"/>
    <row r="641" ht="42.0" customHeight="1"/>
    <row r="642" ht="42.0" customHeight="1"/>
    <row r="643" ht="42.0" customHeight="1"/>
    <row r="644" ht="42.0" customHeight="1"/>
    <row r="645" ht="42.0" customHeight="1"/>
    <row r="646" ht="42.0" customHeight="1"/>
    <row r="647" ht="42.0" customHeight="1"/>
    <row r="648" ht="42.0" customHeight="1"/>
    <row r="649" ht="42.0" customHeight="1"/>
    <row r="650" ht="42.0" customHeight="1"/>
    <row r="651" ht="42.0" customHeight="1"/>
    <row r="652" ht="42.0" customHeight="1"/>
    <row r="653" ht="42.0" customHeight="1"/>
    <row r="654" ht="42.0" customHeight="1"/>
    <row r="655" ht="42.0" customHeight="1"/>
    <row r="656" ht="42.0" customHeight="1"/>
    <row r="657" ht="42.0" customHeight="1"/>
    <row r="658" ht="42.0" customHeight="1"/>
    <row r="659" ht="42.0" customHeight="1"/>
    <row r="660" ht="42.0" customHeight="1"/>
    <row r="661" ht="42.0" customHeight="1"/>
    <row r="662" ht="42.0" customHeight="1"/>
    <row r="663" ht="42.0" customHeight="1"/>
    <row r="664" ht="42.0" customHeight="1"/>
    <row r="665" ht="42.0" customHeight="1"/>
    <row r="666" ht="42.0" customHeight="1"/>
    <row r="667" ht="42.0" customHeight="1"/>
    <row r="668" ht="42.0" customHeight="1"/>
    <row r="669" ht="42.0" customHeight="1"/>
    <row r="670" ht="42.0" customHeight="1"/>
    <row r="671" ht="42.0" customHeight="1"/>
    <row r="672" ht="42.0" customHeight="1"/>
    <row r="673" ht="42.0" customHeight="1"/>
    <row r="674" ht="42.0" customHeight="1"/>
    <row r="675" ht="42.0" customHeight="1"/>
    <row r="676" ht="42.0" customHeight="1"/>
    <row r="677" ht="42.0" customHeight="1"/>
    <row r="678" ht="42.0" customHeight="1"/>
    <row r="679" ht="42.0" customHeight="1"/>
    <row r="680" ht="42.0" customHeight="1"/>
    <row r="681" ht="42.0" customHeight="1"/>
    <row r="682" ht="42.0" customHeight="1"/>
    <row r="683" ht="42.0" customHeight="1"/>
    <row r="684" ht="42.0" customHeight="1"/>
    <row r="685" ht="42.0" customHeight="1"/>
    <row r="686" ht="42.0" customHeight="1"/>
    <row r="687" ht="42.0" customHeight="1"/>
    <row r="688" ht="42.0" customHeight="1"/>
    <row r="689" ht="42.0" customHeight="1"/>
    <row r="690" ht="42.0" customHeight="1"/>
    <row r="691" ht="42.0" customHeight="1"/>
    <row r="692" ht="42.0" customHeight="1"/>
    <row r="693" ht="42.0" customHeight="1"/>
    <row r="694" ht="42.0" customHeight="1"/>
    <row r="695" ht="42.0" customHeight="1"/>
    <row r="696" ht="42.0" customHeight="1"/>
    <row r="697" ht="42.0" customHeight="1"/>
    <row r="698" ht="42.0" customHeight="1"/>
    <row r="699" ht="42.0" customHeight="1"/>
    <row r="700" ht="42.0" customHeight="1"/>
    <row r="701" ht="42.0" customHeight="1"/>
    <row r="702" ht="42.0" customHeight="1"/>
    <row r="703" ht="42.0" customHeight="1"/>
    <row r="704" ht="42.0" customHeight="1"/>
    <row r="705" ht="42.0" customHeight="1"/>
    <row r="706" ht="42.0" customHeight="1"/>
    <row r="707" ht="42.0" customHeight="1"/>
    <row r="708" ht="42.0" customHeight="1"/>
    <row r="709" ht="42.0" customHeight="1"/>
    <row r="710" ht="42.0" customHeight="1"/>
    <row r="711" ht="42.0" customHeight="1"/>
    <row r="712" ht="42.0" customHeight="1"/>
    <row r="713" ht="42.0" customHeight="1"/>
    <row r="714" ht="42.0" customHeight="1"/>
    <row r="715" ht="42.0" customHeight="1"/>
    <row r="716" ht="42.0" customHeight="1"/>
    <row r="717" ht="42.0" customHeight="1"/>
    <row r="718" ht="42.0" customHeight="1"/>
    <row r="719" ht="42.0" customHeight="1"/>
    <row r="720" ht="42.0" customHeight="1"/>
    <row r="721" ht="42.0" customHeight="1"/>
    <row r="722" ht="42.0" customHeight="1"/>
    <row r="723" ht="42.0" customHeight="1"/>
    <row r="724" ht="42.0" customHeight="1"/>
    <row r="725" ht="42.0" customHeight="1"/>
    <row r="726" ht="42.0" customHeight="1"/>
    <row r="727" ht="42.0" customHeight="1"/>
    <row r="728" ht="42.0" customHeight="1"/>
    <row r="729" ht="42.0" customHeight="1"/>
    <row r="730" ht="42.0" customHeight="1"/>
    <row r="731" ht="42.0" customHeight="1"/>
    <row r="732" ht="42.0" customHeight="1"/>
    <row r="733" ht="42.0" customHeight="1"/>
    <row r="734" ht="42.0" customHeight="1"/>
    <row r="735" ht="42.0" customHeight="1"/>
    <row r="736" ht="42.0" customHeight="1"/>
    <row r="737" ht="42.0" customHeight="1"/>
    <row r="738" ht="42.0" customHeight="1"/>
    <row r="739" ht="42.0" customHeight="1"/>
    <row r="740" ht="42.0" customHeight="1"/>
    <row r="741" ht="42.0" customHeight="1"/>
    <row r="742" ht="42.0" customHeight="1"/>
    <row r="743" ht="42.0" customHeight="1"/>
    <row r="744" ht="42.0" customHeight="1"/>
    <row r="745" ht="42.0" customHeight="1"/>
    <row r="746" ht="42.0" customHeight="1"/>
    <row r="747" ht="42.0" customHeight="1"/>
    <row r="748" ht="42.0" customHeight="1"/>
    <row r="749" ht="42.0" customHeight="1"/>
    <row r="750" ht="42.0" customHeight="1"/>
    <row r="751" ht="42.0" customHeight="1"/>
    <row r="752" ht="42.0" customHeight="1"/>
    <row r="753" ht="42.0" customHeight="1"/>
    <row r="754" ht="42.0" customHeight="1"/>
    <row r="755" ht="42.0" customHeight="1"/>
    <row r="756" ht="42.0" customHeight="1"/>
    <row r="757" ht="42.0" customHeight="1"/>
    <row r="758" ht="42.0" customHeight="1"/>
    <row r="759" ht="42.0" customHeight="1"/>
    <row r="760" ht="42.0" customHeight="1"/>
    <row r="761" ht="42.0" customHeight="1"/>
    <row r="762" ht="42.0" customHeight="1"/>
    <row r="763" ht="42.0" customHeight="1"/>
    <row r="764" ht="42.0" customHeight="1"/>
    <row r="765" ht="42.0" customHeight="1"/>
    <row r="766" ht="42.0" customHeight="1"/>
    <row r="767" ht="42.0" customHeight="1"/>
    <row r="768" ht="42.0" customHeight="1"/>
    <row r="769" ht="42.0" customHeight="1"/>
    <row r="770" ht="42.0" customHeight="1"/>
    <row r="771" ht="42.0" customHeight="1"/>
    <row r="772" ht="42.0" customHeight="1"/>
    <row r="773" ht="42.0" customHeight="1"/>
    <row r="774" ht="42.0" customHeight="1"/>
    <row r="775" ht="42.0" customHeight="1"/>
    <row r="776" ht="42.0" customHeight="1"/>
    <row r="777" ht="42.0" customHeight="1"/>
    <row r="778" ht="42.0" customHeight="1"/>
    <row r="779" ht="42.0" customHeight="1"/>
    <row r="780" ht="42.0" customHeight="1"/>
    <row r="781" ht="42.0" customHeight="1"/>
    <row r="782" ht="42.0" customHeight="1"/>
    <row r="783" ht="42.0" customHeight="1"/>
    <row r="784" ht="42.0" customHeight="1"/>
    <row r="785" ht="42.0" customHeight="1"/>
    <row r="786" ht="42.0" customHeight="1"/>
    <row r="787" ht="42.0" customHeight="1"/>
    <row r="788" ht="42.0" customHeight="1"/>
    <row r="789" ht="42.0" customHeight="1"/>
    <row r="790" ht="42.0" customHeight="1"/>
    <row r="791" ht="42.0" customHeight="1"/>
    <row r="792" ht="42.0" customHeight="1"/>
    <row r="793" ht="42.0" customHeight="1"/>
    <row r="794" ht="42.0" customHeight="1"/>
    <row r="795" ht="42.0" customHeight="1"/>
    <row r="796" ht="42.0" customHeight="1"/>
    <row r="797" ht="42.0" customHeight="1"/>
    <row r="798" ht="42.0" customHeight="1"/>
    <row r="799" ht="42.0" customHeight="1"/>
    <row r="800" ht="42.0" customHeight="1"/>
    <row r="801" ht="42.0" customHeight="1"/>
    <row r="802" ht="42.0" customHeight="1"/>
    <row r="803" ht="42.0" customHeight="1"/>
    <row r="804" ht="42.0" customHeight="1"/>
    <row r="805" ht="42.0" customHeight="1"/>
    <row r="806" ht="42.0" customHeight="1"/>
    <row r="807" ht="42.0" customHeight="1"/>
    <row r="808" ht="42.0" customHeight="1"/>
    <row r="809" ht="42.0" customHeight="1"/>
    <row r="810" ht="42.0" customHeight="1"/>
    <row r="811" ht="42.0" customHeight="1"/>
    <row r="812" ht="42.0" customHeight="1"/>
    <row r="813" ht="42.0" customHeight="1"/>
    <row r="814" ht="42.0" customHeight="1"/>
    <row r="815" ht="42.0" customHeight="1"/>
    <row r="816" ht="42.0" customHeight="1"/>
    <row r="817" ht="42.0" customHeight="1"/>
    <row r="818" ht="42.0" customHeight="1"/>
    <row r="819" ht="42.0" customHeight="1"/>
    <row r="820" ht="42.0" customHeight="1"/>
    <row r="821" ht="42.0" customHeight="1"/>
    <row r="822" ht="42.0" customHeight="1"/>
    <row r="823" ht="42.0" customHeight="1"/>
    <row r="824" ht="42.0" customHeight="1"/>
    <row r="825" ht="42.0" customHeight="1"/>
    <row r="826" ht="42.0" customHeight="1"/>
    <row r="827" ht="42.0" customHeight="1"/>
    <row r="828" ht="42.0" customHeight="1"/>
    <row r="829" ht="42.0" customHeight="1"/>
    <row r="830" ht="42.0" customHeight="1"/>
    <row r="831" ht="42.0" customHeight="1"/>
    <row r="832" ht="42.0" customHeight="1"/>
    <row r="833" ht="42.0" customHeight="1"/>
    <row r="834" ht="42.0" customHeight="1"/>
    <row r="835" ht="42.0" customHeight="1"/>
    <row r="836" ht="42.0" customHeight="1"/>
    <row r="837" ht="42.0" customHeight="1"/>
    <row r="838" ht="42.0" customHeight="1"/>
    <row r="839" ht="42.0" customHeight="1"/>
    <row r="840" ht="42.0" customHeight="1"/>
    <row r="841" ht="42.0" customHeight="1"/>
    <row r="842" ht="42.0" customHeight="1"/>
    <row r="843" ht="42.0" customHeight="1"/>
    <row r="844" ht="42.0" customHeight="1"/>
    <row r="845" ht="42.0" customHeight="1"/>
    <row r="846" ht="42.0" customHeight="1"/>
    <row r="847" ht="42.0" customHeight="1"/>
    <row r="848" ht="42.0" customHeight="1"/>
    <row r="849" ht="42.0" customHeight="1"/>
    <row r="850" ht="42.0" customHeight="1"/>
    <row r="851" ht="42.0" customHeight="1"/>
    <row r="852" ht="42.0" customHeight="1"/>
    <row r="853" ht="42.0" customHeight="1"/>
    <row r="854" ht="42.0" customHeight="1"/>
    <row r="855" ht="42.0" customHeight="1"/>
    <row r="856" ht="42.0" customHeight="1"/>
    <row r="857" ht="42.0" customHeight="1"/>
    <row r="858" ht="42.0" customHeight="1"/>
    <row r="859" ht="42.0" customHeight="1"/>
    <row r="860" ht="42.0" customHeight="1"/>
    <row r="861" ht="42.0" customHeight="1"/>
    <row r="862" ht="42.0" customHeight="1"/>
    <row r="863" ht="42.0" customHeight="1"/>
    <row r="864" ht="42.0" customHeight="1"/>
    <row r="865" ht="42.0" customHeight="1"/>
    <row r="866" ht="42.0" customHeight="1"/>
    <row r="867" ht="42.0" customHeight="1"/>
    <row r="868" ht="42.0" customHeight="1"/>
    <row r="869" ht="42.0" customHeight="1"/>
    <row r="870" ht="42.0" customHeight="1"/>
    <row r="871" ht="42.0" customHeight="1"/>
    <row r="872" ht="42.0" customHeight="1"/>
    <row r="873" ht="42.0" customHeight="1"/>
    <row r="874" ht="42.0" customHeight="1"/>
    <row r="875" ht="42.0" customHeight="1"/>
    <row r="876" ht="42.0" customHeight="1"/>
    <row r="877" ht="42.0" customHeight="1"/>
    <row r="878" ht="42.0" customHeight="1"/>
    <row r="879" ht="42.0" customHeight="1"/>
    <row r="880" ht="42.0" customHeight="1"/>
    <row r="881" ht="42.0" customHeight="1"/>
    <row r="882" ht="42.0" customHeight="1"/>
    <row r="883" ht="42.0" customHeight="1"/>
    <row r="884" ht="42.0" customHeight="1"/>
    <row r="885" ht="42.0" customHeight="1"/>
    <row r="886" ht="42.0" customHeight="1"/>
    <row r="887" ht="42.0" customHeight="1"/>
    <row r="888" ht="42.0" customHeight="1"/>
    <row r="889" ht="42.0" customHeight="1"/>
    <row r="890" ht="42.0" customHeight="1"/>
    <row r="891" ht="42.0" customHeight="1"/>
    <row r="892" ht="42.0" customHeight="1"/>
    <row r="893" ht="42.0" customHeight="1"/>
    <row r="894" ht="42.0" customHeight="1"/>
    <row r="895" ht="42.0" customHeight="1"/>
    <row r="896" ht="42.0" customHeight="1"/>
    <row r="897" ht="42.0" customHeight="1"/>
    <row r="898" ht="42.0" customHeight="1"/>
    <row r="899" ht="42.0" customHeight="1"/>
    <row r="900" ht="42.0" customHeight="1"/>
    <row r="901" ht="42.0" customHeight="1"/>
    <row r="902" ht="42.0" customHeight="1"/>
    <row r="903" ht="42.0" customHeight="1"/>
    <row r="904" ht="42.0" customHeight="1"/>
    <row r="905" ht="42.0" customHeight="1"/>
    <row r="906" ht="42.0" customHeight="1"/>
    <row r="907" ht="42.0" customHeight="1"/>
    <row r="908" ht="42.0" customHeight="1"/>
    <row r="909" ht="42.0" customHeight="1"/>
    <row r="910" ht="42.0" customHeight="1"/>
    <row r="911" ht="42.0" customHeight="1"/>
    <row r="912" ht="42.0" customHeight="1"/>
    <row r="913" ht="42.0" customHeight="1"/>
    <row r="914" ht="42.0" customHeight="1"/>
    <row r="915" ht="42.0" customHeight="1"/>
    <row r="916" ht="42.0" customHeight="1"/>
    <row r="917" ht="42.0" customHeight="1"/>
    <row r="918" ht="42.0" customHeight="1"/>
    <row r="919" ht="42.0" customHeight="1"/>
    <row r="920" ht="42.0" customHeight="1"/>
    <row r="921" ht="42.0" customHeight="1"/>
    <row r="922" ht="42.0" customHeight="1"/>
    <row r="923" ht="42.0" customHeight="1"/>
    <row r="924" ht="42.0" customHeight="1"/>
    <row r="925" ht="42.0" customHeight="1"/>
    <row r="926" ht="42.0" customHeight="1"/>
    <row r="927" ht="42.0" customHeight="1"/>
    <row r="928" ht="42.0" customHeight="1"/>
    <row r="929" ht="42.0" customHeight="1"/>
    <row r="930" ht="42.0" customHeight="1"/>
    <row r="931" ht="42.0" customHeight="1"/>
    <row r="932" ht="42.0" customHeight="1"/>
    <row r="933" ht="42.0" customHeight="1"/>
    <row r="934" ht="42.0" customHeight="1"/>
    <row r="935" ht="42.0" customHeight="1"/>
    <row r="936" ht="42.0" customHeight="1"/>
    <row r="937" ht="42.0" customHeight="1"/>
    <row r="938" ht="42.0" customHeight="1"/>
    <row r="939" ht="42.0" customHeight="1"/>
    <row r="940" ht="42.0" customHeight="1"/>
    <row r="941" ht="42.0" customHeight="1"/>
    <row r="942" ht="42.0" customHeight="1"/>
    <row r="943" ht="42.0" customHeight="1"/>
    <row r="944" ht="42.0" customHeight="1"/>
    <row r="945" ht="42.0" customHeight="1"/>
    <row r="946" ht="42.0" customHeight="1"/>
    <row r="947" ht="42.0" customHeight="1"/>
    <row r="948" ht="42.0" customHeight="1"/>
    <row r="949" ht="42.0" customHeight="1"/>
    <row r="950" ht="42.0" customHeight="1"/>
    <row r="951" ht="42.0" customHeight="1"/>
    <row r="952" ht="42.0" customHeight="1"/>
    <row r="953" ht="42.0" customHeight="1"/>
    <row r="954" ht="42.0" customHeight="1"/>
    <row r="955" ht="42.0" customHeight="1"/>
    <row r="956" ht="42.0" customHeight="1"/>
    <row r="957" ht="42.0" customHeight="1"/>
    <row r="958" ht="42.0" customHeight="1"/>
    <row r="959" ht="42.0" customHeight="1"/>
    <row r="960" ht="42.0" customHeight="1"/>
    <row r="961" ht="42.0" customHeight="1"/>
    <row r="962" ht="42.0" customHeight="1"/>
    <row r="963" ht="42.0" customHeight="1"/>
    <row r="964" ht="42.0" customHeight="1"/>
    <row r="965" ht="42.0" customHeight="1"/>
    <row r="966" ht="42.0" customHeight="1"/>
    <row r="967" ht="42.0" customHeight="1"/>
    <row r="968" ht="42.0" customHeight="1"/>
    <row r="969" ht="42.0" customHeight="1"/>
    <row r="970" ht="42.0" customHeight="1"/>
    <row r="971" ht="42.0" customHeight="1"/>
    <row r="972" ht="42.0" customHeight="1"/>
    <row r="973" ht="42.0" customHeight="1"/>
    <row r="974" ht="42.0" customHeight="1"/>
    <row r="975" ht="42.0" customHeight="1"/>
    <row r="976" ht="42.0" customHeight="1"/>
    <row r="977" ht="42.0" customHeight="1"/>
    <row r="978" ht="42.0" customHeight="1"/>
    <row r="979" ht="42.0" customHeight="1"/>
    <row r="980" ht="42.0" customHeight="1"/>
    <row r="981" ht="42.0" customHeight="1"/>
    <row r="982" ht="42.0" customHeight="1"/>
    <row r="983" ht="42.0" customHeight="1"/>
    <row r="984" ht="42.0" customHeight="1"/>
    <row r="985" ht="42.0" customHeight="1"/>
    <row r="986" ht="42.0" customHeight="1"/>
    <row r="987" ht="42.0" customHeight="1"/>
    <row r="988" ht="42.0" customHeight="1"/>
    <row r="989" ht="42.0" customHeight="1"/>
    <row r="990" ht="42.0" customHeight="1"/>
    <row r="991" ht="42.0" customHeight="1"/>
    <row r="992" ht="42.0" customHeight="1"/>
    <row r="993" ht="42.0" customHeight="1"/>
    <row r="994" ht="42.0" customHeight="1"/>
    <row r="995" ht="42.0" customHeight="1"/>
    <row r="996" ht="42.0" customHeight="1"/>
    <row r="997" ht="42.0" customHeight="1"/>
    <row r="998" ht="42.0" customHeight="1"/>
    <row r="999" ht="42.0" customHeight="1"/>
    <row r="1000" ht="42.0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8.71"/>
    <col customWidth="1" min="3" max="3" width="101.14"/>
  </cols>
  <sheetData>
    <row r="1" ht="35.25" customHeight="1">
      <c r="A1" s="16" t="s">
        <v>5548</v>
      </c>
      <c r="B1" s="16" t="str">
        <f>IMAGE("https://lmztiles.s3.eu-west-1.amazonaws.com/Modern_Interiors_v41.3.4/1_Interiors/16x16/Theme_Sorter_Singles/23_Television_and_Film_Studio_SIngles/Television_and_FIlm_Studio_Singles_1.png")</f>
        <v/>
      </c>
    </row>
    <row r="2" ht="35.25" customHeight="1">
      <c r="A2" s="16" t="s">
        <v>5549</v>
      </c>
      <c r="B2" s="16" t="str">
        <f>IMAGE("https://lmztiles.s3.eu-west-1.amazonaws.com/Modern_Interiors_v41.3.4/1_Interiors/16x16/Theme_Sorter_Singles/23_Television_and_Film_Studio_SIngles/Television_and_FIlm_Studio_Singles_2.png")</f>
        <v/>
      </c>
    </row>
    <row r="3" ht="35.25" customHeight="1">
      <c r="A3" s="16" t="s">
        <v>5550</v>
      </c>
      <c r="B3" s="16" t="str">
        <f>IMAGE("https://lmztiles.s3.eu-west-1.amazonaws.com/Modern_Interiors_v41.3.4/1_Interiors/16x16/Theme_Sorter_Singles/23_Television_and_Film_Studio_SIngles/Television_and_FIlm_Studio_Singles_3.png")</f>
        <v/>
      </c>
    </row>
    <row r="4" ht="35.25" customHeight="1">
      <c r="A4" s="16" t="s">
        <v>5551</v>
      </c>
      <c r="B4" s="16" t="str">
        <f>IMAGE("https://lmztiles.s3.eu-west-1.amazonaws.com/Modern_Interiors_v41.3.4/1_Interiors/16x16/Theme_Sorter_Singles/23_Television_and_Film_Studio_SIngles/Television_and_FIlm_Studio_Singles_4.png")</f>
        <v/>
      </c>
    </row>
    <row r="5" ht="35.25" customHeight="1">
      <c r="A5" s="16" t="s">
        <v>5552</v>
      </c>
      <c r="B5" s="16" t="str">
        <f>IMAGE("https://lmztiles.s3.eu-west-1.amazonaws.com/Modern_Interiors_v41.3.4/1_Interiors/16x16/Theme_Sorter_Singles/23_Television_and_Film_Studio_SIngles/Television_and_FIlm_Studio_Singles_5.png")</f>
        <v/>
      </c>
    </row>
    <row r="6" ht="35.25" customHeight="1">
      <c r="A6" s="16" t="s">
        <v>5553</v>
      </c>
      <c r="B6" s="16" t="str">
        <f>IMAGE("https://lmztiles.s3.eu-west-1.amazonaws.com/Modern_Interiors_v41.3.4/1_Interiors/16x16/Theme_Sorter_Singles/23_Television_and_Film_Studio_SIngles/Television_and_FIlm_Studio_Singles_6.png")</f>
        <v/>
      </c>
    </row>
    <row r="7" ht="35.25" customHeight="1">
      <c r="A7" s="16" t="s">
        <v>5554</v>
      </c>
      <c r="B7" s="16" t="str">
        <f>IMAGE("https://lmztiles.s3.eu-west-1.amazonaws.com/Modern_Interiors_v41.3.4/1_Interiors/16x16/Theme_Sorter_Singles/23_Television_and_Film_Studio_SIngles/Television_and_FIlm_Studio_Singles_7.png")</f>
        <v/>
      </c>
    </row>
    <row r="8" ht="35.25" customHeight="1">
      <c r="A8" s="16" t="s">
        <v>5555</v>
      </c>
      <c r="B8" s="16" t="str">
        <f>IMAGE("https://lmztiles.s3.eu-west-1.amazonaws.com/Modern_Interiors_v41.3.4/1_Interiors/16x16/Theme_Sorter_Singles/23_Television_and_Film_Studio_SIngles/Television_and_FIlm_Studio_Singles_8.png")</f>
        <v/>
      </c>
    </row>
    <row r="9" ht="35.25" customHeight="1">
      <c r="A9" s="16" t="s">
        <v>5556</v>
      </c>
      <c r="B9" s="16" t="str">
        <f>IMAGE("https://lmztiles.s3.eu-west-1.amazonaws.com/Modern_Interiors_v41.3.4/1_Interiors/16x16/Theme_Sorter_Singles/23_Television_and_Film_Studio_SIngles/Television_and_FIlm_Studio_Singles_9.png")</f>
        <v/>
      </c>
    </row>
    <row r="10" ht="35.25" customHeight="1">
      <c r="A10" s="16" t="s">
        <v>5557</v>
      </c>
      <c r="B10" s="16" t="str">
        <f>IMAGE("https://lmztiles.s3.eu-west-1.amazonaws.com/Modern_Interiors_v41.3.4/1_Interiors/16x16/Theme_Sorter_Singles/23_Television_and_Film_Studio_SIngles/Television_and_FIlm_Studio_Singles_10.png")</f>
        <v/>
      </c>
    </row>
    <row r="11" ht="35.25" customHeight="1">
      <c r="A11" s="16" t="s">
        <v>5558</v>
      </c>
      <c r="B11" s="16" t="str">
        <f>IMAGE("https://lmztiles.s3.eu-west-1.amazonaws.com/Modern_Interiors_v41.3.4/1_Interiors/16x16/Theme_Sorter_Singles/23_Television_and_Film_Studio_SIngles/Television_and_FIlm_Studio_Singles_11.png")</f>
        <v/>
      </c>
    </row>
    <row r="12" ht="35.25" customHeight="1">
      <c r="A12" s="16" t="s">
        <v>5559</v>
      </c>
      <c r="B12" s="16" t="str">
        <f>IMAGE("https://lmztiles.s3.eu-west-1.amazonaws.com/Modern_Interiors_v41.3.4/1_Interiors/16x16/Theme_Sorter_Singles/23_Television_and_Film_Studio_SIngles/Television_and_FIlm_Studio_Singles_12.png")</f>
        <v/>
      </c>
    </row>
    <row r="13" ht="35.25" customHeight="1">
      <c r="A13" s="16" t="s">
        <v>5560</v>
      </c>
      <c r="B13" s="16" t="str">
        <f>IMAGE("https://lmztiles.s3.eu-west-1.amazonaws.com/Modern_Interiors_v41.3.4/1_Interiors/16x16/Theme_Sorter_Singles/23_Television_and_Film_Studio_SIngles/Television_and_FIlm_Studio_Singles_13.png")</f>
        <v/>
      </c>
    </row>
    <row r="14" ht="35.25" customHeight="1">
      <c r="A14" s="16" t="s">
        <v>5561</v>
      </c>
      <c r="B14" s="16" t="str">
        <f>IMAGE("https://lmztiles.s3.eu-west-1.amazonaws.com/Modern_Interiors_v41.3.4/1_Interiors/16x16/Theme_Sorter_Singles/23_Television_and_Film_Studio_SIngles/Television_and_FIlm_Studio_Singles_14.png")</f>
        <v/>
      </c>
    </row>
    <row r="15" ht="35.25" customHeight="1">
      <c r="A15" s="16" t="s">
        <v>5562</v>
      </c>
      <c r="B15" s="16" t="str">
        <f>IMAGE("https://lmztiles.s3.eu-west-1.amazonaws.com/Modern_Interiors_v41.3.4/1_Interiors/16x16/Theme_Sorter_Singles/23_Television_and_Film_Studio_SIngles/Television_and_FIlm_Studio_Singles_15.png")</f>
        <v/>
      </c>
    </row>
    <row r="16" ht="35.25" customHeight="1">
      <c r="A16" s="16" t="s">
        <v>5563</v>
      </c>
      <c r="B16" s="16" t="str">
        <f>IMAGE("https://lmztiles.s3.eu-west-1.amazonaws.com/Modern_Interiors_v41.3.4/1_Interiors/16x16/Theme_Sorter_Singles/23_Television_and_Film_Studio_SIngles/Television_and_FIlm_Studio_Singles_16.png")</f>
        <v/>
      </c>
    </row>
    <row r="17" ht="35.25" customHeight="1">
      <c r="A17" s="16" t="s">
        <v>5564</v>
      </c>
      <c r="B17" s="16" t="str">
        <f>IMAGE("https://lmztiles.s3.eu-west-1.amazonaws.com/Modern_Interiors_v41.3.4/1_Interiors/16x16/Theme_Sorter_Singles/23_Television_and_Film_Studio_SIngles/Television_and_FIlm_Studio_Singles_17.png")</f>
        <v/>
      </c>
    </row>
    <row r="18" ht="35.25" customHeight="1">
      <c r="A18" s="16" t="s">
        <v>5565</v>
      </c>
      <c r="B18" s="16" t="str">
        <f>IMAGE("https://lmztiles.s3.eu-west-1.amazonaws.com/Modern_Interiors_v41.3.4/1_Interiors/16x16/Theme_Sorter_Singles/23_Television_and_Film_Studio_SIngles/Television_and_FIlm_Studio_Singles_18.png")</f>
        <v/>
      </c>
    </row>
    <row r="19" ht="35.25" customHeight="1">
      <c r="A19" s="16" t="s">
        <v>5566</v>
      </c>
      <c r="B19" s="16" t="str">
        <f>IMAGE("https://lmztiles.s3.eu-west-1.amazonaws.com/Modern_Interiors_v41.3.4/1_Interiors/16x16/Theme_Sorter_Singles/23_Television_and_Film_Studio_SIngles/Television_and_FIlm_Studio_Singles_19.png")</f>
        <v/>
      </c>
    </row>
    <row r="20" ht="35.25" customHeight="1">
      <c r="A20" s="16" t="s">
        <v>5567</v>
      </c>
      <c r="B20" s="16" t="str">
        <f>IMAGE("https://lmztiles.s3.eu-west-1.amazonaws.com/Modern_Interiors_v41.3.4/1_Interiors/16x16/Theme_Sorter_Singles/23_Television_and_Film_Studio_SIngles/Television_and_FIlm_Studio_Singles_20.png")</f>
        <v/>
      </c>
    </row>
    <row r="21" ht="35.25" customHeight="1">
      <c r="A21" s="16" t="s">
        <v>5568</v>
      </c>
      <c r="B21" s="16" t="str">
        <f>IMAGE("https://lmztiles.s3.eu-west-1.amazonaws.com/Modern_Interiors_v41.3.4/1_Interiors/16x16/Theme_Sorter_Singles/23_Television_and_Film_Studio_SIngles/Television_and_FIlm_Studio_Singles_21.png")</f>
        <v/>
      </c>
    </row>
    <row r="22" ht="35.25" customHeight="1">
      <c r="A22" s="16" t="s">
        <v>5569</v>
      </c>
      <c r="B22" s="16" t="str">
        <f>IMAGE("https://lmztiles.s3.eu-west-1.amazonaws.com/Modern_Interiors_v41.3.4/1_Interiors/16x16/Theme_Sorter_Singles/23_Television_and_Film_Studio_SIngles/Television_and_FIlm_Studio_Singles_22.png")</f>
        <v/>
      </c>
    </row>
    <row r="23" ht="35.25" customHeight="1">
      <c r="A23" s="16" t="s">
        <v>5570</v>
      </c>
      <c r="B23" s="16" t="str">
        <f>IMAGE("https://lmztiles.s3.eu-west-1.amazonaws.com/Modern_Interiors_v41.3.4/1_Interiors/16x16/Theme_Sorter_Singles/23_Television_and_Film_Studio_SIngles/Television_and_FIlm_Studio_Singles_23.png")</f>
        <v/>
      </c>
    </row>
    <row r="24" ht="35.25" customHeight="1">
      <c r="A24" s="16" t="s">
        <v>5571</v>
      </c>
      <c r="B24" s="16" t="str">
        <f>IMAGE("https://lmztiles.s3.eu-west-1.amazonaws.com/Modern_Interiors_v41.3.4/1_Interiors/16x16/Theme_Sorter_Singles/23_Television_and_Film_Studio_SIngles/Television_and_FIlm_Studio_Singles_24.png")</f>
        <v/>
      </c>
    </row>
    <row r="25" ht="35.25" customHeight="1">
      <c r="A25" s="16" t="s">
        <v>5572</v>
      </c>
      <c r="B25" s="16" t="str">
        <f>IMAGE("https://lmztiles.s3.eu-west-1.amazonaws.com/Modern_Interiors_v41.3.4/1_Interiors/16x16/Theme_Sorter_Singles/23_Television_and_Film_Studio_SIngles/Television_and_FIlm_Studio_Singles_25.png")</f>
        <v/>
      </c>
    </row>
    <row r="26" ht="35.25" customHeight="1">
      <c r="A26" s="16" t="s">
        <v>5573</v>
      </c>
      <c r="B26" s="16" t="str">
        <f>IMAGE("https://lmztiles.s3.eu-west-1.amazonaws.com/Modern_Interiors_v41.3.4/1_Interiors/16x16/Theme_Sorter_Singles/23_Television_and_Film_Studio_SIngles/Television_and_FIlm_Studio_Singles_26.png")</f>
        <v/>
      </c>
    </row>
    <row r="27" ht="35.25" customHeight="1">
      <c r="A27" s="16" t="s">
        <v>5574</v>
      </c>
      <c r="B27" s="16" t="str">
        <f>IMAGE("https://lmztiles.s3.eu-west-1.amazonaws.com/Modern_Interiors_v41.3.4/1_Interiors/16x16/Theme_Sorter_Singles/23_Television_and_Film_Studio_SIngles/Television_and_FIlm_Studio_Singles_27.png")</f>
        <v/>
      </c>
    </row>
    <row r="28" ht="35.25" customHeight="1">
      <c r="A28" s="16" t="s">
        <v>5575</v>
      </c>
      <c r="B28" s="16" t="str">
        <f>IMAGE("https://lmztiles.s3.eu-west-1.amazonaws.com/Modern_Interiors_v41.3.4/1_Interiors/16x16/Theme_Sorter_Singles/23_Television_and_Film_Studio_SIngles/Television_and_FIlm_Studio_Singles_28.png")</f>
        <v/>
      </c>
    </row>
    <row r="29" ht="35.25" customHeight="1">
      <c r="A29" s="16" t="s">
        <v>5576</v>
      </c>
      <c r="B29" s="16" t="str">
        <f>IMAGE("https://lmztiles.s3.eu-west-1.amazonaws.com/Modern_Interiors_v41.3.4/1_Interiors/16x16/Theme_Sorter_Singles/23_Television_and_Film_Studio_SIngles/Television_and_FIlm_Studio_Singles_29.png")</f>
        <v/>
      </c>
    </row>
    <row r="30" ht="35.25" customHeight="1">
      <c r="A30" s="16" t="s">
        <v>5577</v>
      </c>
      <c r="B30" s="16" t="str">
        <f>IMAGE("https://lmztiles.s3.eu-west-1.amazonaws.com/Modern_Interiors_v41.3.4/1_Interiors/16x16/Theme_Sorter_Singles/23_Television_and_Film_Studio_SIngles/Television_and_FIlm_Studio_Singles_30.png")</f>
        <v/>
      </c>
    </row>
    <row r="31" ht="35.25" customHeight="1">
      <c r="A31" s="16" t="s">
        <v>5578</v>
      </c>
      <c r="B31" s="16" t="str">
        <f>IMAGE("https://lmztiles.s3.eu-west-1.amazonaws.com/Modern_Interiors_v41.3.4/1_Interiors/16x16/Theme_Sorter_Singles/23_Television_and_Film_Studio_SIngles/Television_and_FIlm_Studio_Singles_31.png")</f>
        <v/>
      </c>
    </row>
    <row r="32" ht="35.25" customHeight="1">
      <c r="A32" s="16" t="s">
        <v>5579</v>
      </c>
      <c r="B32" s="16" t="str">
        <f>IMAGE("https://lmztiles.s3.eu-west-1.amazonaws.com/Modern_Interiors_v41.3.4/1_Interiors/16x16/Theme_Sorter_Singles/23_Television_and_Film_Studio_SIngles/Television_and_FIlm_Studio_Singles_32.png")</f>
        <v/>
      </c>
    </row>
    <row r="33" ht="35.25" customHeight="1">
      <c r="A33" s="16" t="s">
        <v>5580</v>
      </c>
      <c r="B33" s="16" t="str">
        <f>IMAGE("https://lmztiles.s3.eu-west-1.amazonaws.com/Modern_Interiors_v41.3.4/1_Interiors/16x16/Theme_Sorter_Singles/23_Television_and_Film_Studio_SIngles/Television_and_FIlm_Studio_Singles_33.png")</f>
        <v/>
      </c>
    </row>
    <row r="34" ht="35.25" customHeight="1">
      <c r="A34" s="16" t="s">
        <v>5581</v>
      </c>
      <c r="B34" s="16" t="str">
        <f>IMAGE("https://lmztiles.s3.eu-west-1.amazonaws.com/Modern_Interiors_v41.3.4/1_Interiors/16x16/Theme_Sorter_Singles/23_Television_and_Film_Studio_SIngles/Television_and_FIlm_Studio_Singles_34.png")</f>
        <v/>
      </c>
    </row>
    <row r="35" ht="35.25" customHeight="1">
      <c r="A35" s="16" t="s">
        <v>5582</v>
      </c>
      <c r="B35" s="16" t="str">
        <f>IMAGE("https://lmztiles.s3.eu-west-1.amazonaws.com/Modern_Interiors_v41.3.4/1_Interiors/16x16/Theme_Sorter_Singles/23_Television_and_Film_Studio_SIngles/Television_and_FIlm_Studio_Singles_35.png")</f>
        <v/>
      </c>
    </row>
    <row r="36" ht="35.25" customHeight="1">
      <c r="A36" s="16" t="s">
        <v>5583</v>
      </c>
      <c r="B36" s="16" t="str">
        <f>IMAGE("https://lmztiles.s3.eu-west-1.amazonaws.com/Modern_Interiors_v41.3.4/1_Interiors/16x16/Theme_Sorter_Singles/23_Television_and_Film_Studio_SIngles/Television_and_FIlm_Studio_Singles_36.png")</f>
        <v/>
      </c>
    </row>
    <row r="37" ht="35.25" customHeight="1">
      <c r="A37" s="16" t="s">
        <v>5584</v>
      </c>
      <c r="B37" s="16" t="str">
        <f>IMAGE("https://lmztiles.s3.eu-west-1.amazonaws.com/Modern_Interiors_v41.3.4/1_Interiors/16x16/Theme_Sorter_Singles/23_Television_and_Film_Studio_SIngles/Television_and_FIlm_Studio_Singles_37.png")</f>
        <v/>
      </c>
    </row>
    <row r="38" ht="35.25" customHeight="1">
      <c r="A38" s="16" t="s">
        <v>5585</v>
      </c>
      <c r="B38" s="16" t="str">
        <f>IMAGE("https://lmztiles.s3.eu-west-1.amazonaws.com/Modern_Interiors_v41.3.4/1_Interiors/16x16/Theme_Sorter_Singles/23_Television_and_Film_Studio_SIngles/Television_and_FIlm_Studio_Singles_38.png")</f>
        <v/>
      </c>
    </row>
    <row r="39" ht="35.25" customHeight="1">
      <c r="A39" s="16" t="s">
        <v>5586</v>
      </c>
      <c r="B39" s="16" t="str">
        <f>IMAGE("https://lmztiles.s3.eu-west-1.amazonaws.com/Modern_Interiors_v41.3.4/1_Interiors/16x16/Theme_Sorter_Singles/23_Television_and_Film_Studio_SIngles/Television_and_FIlm_Studio_Singles_39.png")</f>
        <v/>
      </c>
    </row>
    <row r="40" ht="35.25" customHeight="1">
      <c r="A40" s="16" t="s">
        <v>5587</v>
      </c>
      <c r="B40" s="16" t="str">
        <f>IMAGE("https://lmztiles.s3.eu-west-1.amazonaws.com/Modern_Interiors_v41.3.4/1_Interiors/16x16/Theme_Sorter_Singles/23_Television_and_Film_Studio_SIngles/Television_and_FIlm_Studio_Singles_40.png")</f>
        <v/>
      </c>
    </row>
    <row r="41" ht="35.25" customHeight="1">
      <c r="A41" s="16" t="s">
        <v>5588</v>
      </c>
      <c r="B41" s="16" t="str">
        <f>IMAGE("https://lmztiles.s3.eu-west-1.amazonaws.com/Modern_Interiors_v41.3.4/1_Interiors/16x16/Theme_Sorter_Singles/23_Television_and_Film_Studio_SIngles/Television_and_FIlm_Studio_Singles_41.png")</f>
        <v/>
      </c>
    </row>
    <row r="42" ht="35.25" customHeight="1">
      <c r="A42" s="16" t="s">
        <v>5589</v>
      </c>
      <c r="B42" s="16" t="str">
        <f>IMAGE("https://lmztiles.s3.eu-west-1.amazonaws.com/Modern_Interiors_v41.3.4/1_Interiors/16x16/Theme_Sorter_Singles/23_Television_and_Film_Studio_SIngles/Television_and_FIlm_Studio_Singles_42.png")</f>
        <v/>
      </c>
    </row>
    <row r="43" ht="35.25" customHeight="1">
      <c r="A43" s="16" t="s">
        <v>5590</v>
      </c>
      <c r="B43" s="16" t="str">
        <f>IMAGE("https://lmztiles.s3.eu-west-1.amazonaws.com/Modern_Interiors_v41.3.4/1_Interiors/16x16/Theme_Sorter_Singles/23_Television_and_Film_Studio_SIngles/Television_and_FIlm_Studio_Singles_43.png")</f>
        <v/>
      </c>
    </row>
    <row r="44" ht="35.25" customHeight="1">
      <c r="A44" s="16" t="s">
        <v>5591</v>
      </c>
      <c r="B44" s="16" t="str">
        <f>IMAGE("https://lmztiles.s3.eu-west-1.amazonaws.com/Modern_Interiors_v41.3.4/1_Interiors/16x16/Theme_Sorter_Singles/23_Television_and_Film_Studio_SIngles/Television_and_FIlm_Studio_Singles_44.png")</f>
        <v/>
      </c>
    </row>
    <row r="45" ht="35.25" customHeight="1">
      <c r="A45" s="16" t="s">
        <v>5592</v>
      </c>
      <c r="B45" s="16" t="str">
        <f>IMAGE("https://lmztiles.s3.eu-west-1.amazonaws.com/Modern_Interiors_v41.3.4/1_Interiors/16x16/Theme_Sorter_Singles/23_Television_and_Film_Studio_SIngles/Television_and_FIlm_Studio_Singles_45.png")</f>
        <v/>
      </c>
    </row>
    <row r="46" ht="35.25" customHeight="1">
      <c r="A46" s="16" t="s">
        <v>5593</v>
      </c>
      <c r="B46" s="16" t="str">
        <f>IMAGE("https://lmztiles.s3.eu-west-1.amazonaws.com/Modern_Interiors_v41.3.4/1_Interiors/16x16/Theme_Sorter_Singles/23_Television_and_Film_Studio_SIngles/Television_and_FIlm_Studio_Singles_46.png")</f>
        <v/>
      </c>
    </row>
    <row r="47" ht="35.25" customHeight="1">
      <c r="A47" s="16" t="s">
        <v>5594</v>
      </c>
      <c r="B47" s="16" t="str">
        <f>IMAGE("https://lmztiles.s3.eu-west-1.amazonaws.com/Modern_Interiors_v41.3.4/1_Interiors/16x16/Theme_Sorter_Singles/23_Television_and_Film_Studio_SIngles/Television_and_FIlm_Studio_Singles_47.png")</f>
        <v/>
      </c>
    </row>
    <row r="48" ht="35.25" customHeight="1">
      <c r="A48" s="16" t="s">
        <v>5595</v>
      </c>
      <c r="B48" s="16" t="str">
        <f>IMAGE("https://lmztiles.s3.eu-west-1.amazonaws.com/Modern_Interiors_v41.3.4/1_Interiors/16x16/Theme_Sorter_Singles/23_Television_and_Film_Studio_SIngles/Television_and_FIlm_Studio_Singles_48.png")</f>
        <v/>
      </c>
    </row>
    <row r="49" ht="35.25" customHeight="1">
      <c r="A49" s="16" t="s">
        <v>5596</v>
      </c>
      <c r="B49" s="16" t="str">
        <f>IMAGE("https://lmztiles.s3.eu-west-1.amazonaws.com/Modern_Interiors_v41.3.4/1_Interiors/16x16/Theme_Sorter_Singles/23_Television_and_Film_Studio_SIngles/Television_and_FIlm_Studio_Singles_50.png")</f>
        <v/>
      </c>
    </row>
    <row r="50" ht="35.25" customHeight="1">
      <c r="A50" s="16" t="s">
        <v>5597</v>
      </c>
      <c r="B50" s="16" t="str">
        <f>IMAGE("https://lmztiles.s3.eu-west-1.amazonaws.com/Modern_Interiors_v41.3.4/1_Interiors/16x16/Theme_Sorter_Singles/23_Television_and_Film_Studio_SIngles/Television_and_FIlm_Studio_Singles_51.png")</f>
        <v/>
      </c>
    </row>
    <row r="51" ht="35.25" customHeight="1">
      <c r="A51" s="16" t="s">
        <v>5598</v>
      </c>
      <c r="B51" s="16" t="str">
        <f>IMAGE("https://lmztiles.s3.eu-west-1.amazonaws.com/Modern_Interiors_v41.3.4/1_Interiors/16x16/Theme_Sorter_Singles/23_Television_and_Film_Studio_SIngles/Television_and_FIlm_Studio_Singles_52.png")</f>
        <v/>
      </c>
    </row>
    <row r="52" ht="35.25" customHeight="1">
      <c r="A52" s="16" t="s">
        <v>5599</v>
      </c>
      <c r="B52" s="16" t="str">
        <f>IMAGE("https://lmztiles.s3.eu-west-1.amazonaws.com/Modern_Interiors_v41.3.4/1_Interiors/16x16/Theme_Sorter_Singles/23_Television_and_Film_Studio_SIngles/Television_and_FIlm_Studio_Singles_53.png")</f>
        <v/>
      </c>
    </row>
    <row r="53" ht="35.25" customHeight="1">
      <c r="A53" s="16" t="s">
        <v>5600</v>
      </c>
      <c r="B53" s="16" t="str">
        <f>IMAGE("https://lmztiles.s3.eu-west-1.amazonaws.com/Modern_Interiors_v41.3.4/1_Interiors/16x16/Theme_Sorter_Singles/23_Television_and_Film_Studio_SIngles/Television_and_FIlm_Studio_Singles_54.png")</f>
        <v/>
      </c>
    </row>
    <row r="54" ht="35.25" customHeight="1">
      <c r="A54" s="16" t="s">
        <v>5601</v>
      </c>
      <c r="B54" s="16" t="str">
        <f>IMAGE("https://lmztiles.s3.eu-west-1.amazonaws.com/Modern_Interiors_v41.3.4/1_Interiors/16x16/Theme_Sorter_Singles/23_Television_and_Film_Studio_SIngles/Television_and_FIlm_Studio_Singles_55.png")</f>
        <v/>
      </c>
    </row>
    <row r="55" ht="35.25" customHeight="1">
      <c r="A55" s="16" t="s">
        <v>5602</v>
      </c>
      <c r="B55" s="16" t="str">
        <f>IMAGE("https://lmztiles.s3.eu-west-1.amazonaws.com/Modern_Interiors_v41.3.4/1_Interiors/16x16/Theme_Sorter_Singles/23_Television_and_Film_Studio_SIngles/Television_and_FIlm_Studio_Singles_56.png")</f>
        <v/>
      </c>
    </row>
    <row r="56" ht="35.25" customHeight="1">
      <c r="A56" s="16" t="s">
        <v>5603</v>
      </c>
      <c r="B56" s="16" t="str">
        <f>IMAGE("https://lmztiles.s3.eu-west-1.amazonaws.com/Modern_Interiors_v41.3.4/1_Interiors/16x16/Theme_Sorter_Singles/23_Television_and_Film_Studio_SIngles/Television_and_FIlm_Studio_Singles_57.png")</f>
        <v/>
      </c>
    </row>
    <row r="57" ht="35.25" customHeight="1">
      <c r="A57" s="16" t="s">
        <v>5604</v>
      </c>
      <c r="B57" s="16" t="str">
        <f>IMAGE("https://lmztiles.s3.eu-west-1.amazonaws.com/Modern_Interiors_v41.3.4/1_Interiors/16x16/Theme_Sorter_Singles/23_Television_and_Film_Studio_SIngles/Television_and_FIlm_Studio_Singles_58.png")</f>
        <v/>
      </c>
    </row>
    <row r="58" ht="35.25" customHeight="1">
      <c r="A58" s="16" t="s">
        <v>5605</v>
      </c>
      <c r="B58" s="16" t="str">
        <f>IMAGE("https://lmztiles.s3.eu-west-1.amazonaws.com/Modern_Interiors_v41.3.4/1_Interiors/16x16/Theme_Sorter_Singles/23_Television_and_Film_Studio_SIngles/Television_and_FIlm_Studio_Singles_59.png")</f>
        <v/>
      </c>
    </row>
    <row r="59" ht="35.25" customHeight="1">
      <c r="A59" s="16" t="s">
        <v>5606</v>
      </c>
      <c r="B59" s="16" t="str">
        <f>IMAGE("https://lmztiles.s3.eu-west-1.amazonaws.com/Modern_Interiors_v41.3.4/1_Interiors/16x16/Theme_Sorter_Singles/23_Television_and_Film_Studio_SIngles/Television_and_FIlm_Studio_Singles_60.png")</f>
        <v/>
      </c>
    </row>
    <row r="60" ht="35.25" customHeight="1">
      <c r="A60" s="16" t="s">
        <v>5607</v>
      </c>
      <c r="B60" s="16" t="str">
        <f>IMAGE("https://lmztiles.s3.eu-west-1.amazonaws.com/Modern_Interiors_v41.3.4/1_Interiors/16x16/Theme_Sorter_Singles/23_Television_and_Film_Studio_SIngles/Television_and_FIlm_Studio_Singles_61.png")</f>
        <v/>
      </c>
    </row>
    <row r="61" ht="35.25" customHeight="1">
      <c r="A61" s="16" t="s">
        <v>5608</v>
      </c>
      <c r="B61" s="16" t="str">
        <f>IMAGE("https://lmztiles.s3.eu-west-1.amazonaws.com/Modern_Interiors_v41.3.4/1_Interiors/16x16/Theme_Sorter_Singles/23_Television_and_Film_Studio_SIngles/Television_and_FIlm_Studio_Singles_62.png")</f>
        <v/>
      </c>
    </row>
    <row r="62" ht="35.25" customHeight="1">
      <c r="A62" s="16" t="s">
        <v>5609</v>
      </c>
      <c r="B62" s="16" t="str">
        <f>IMAGE("https://lmztiles.s3.eu-west-1.amazonaws.com/Modern_Interiors_v41.3.4/1_Interiors/16x16/Theme_Sorter_Singles/23_Television_and_Film_Studio_SIngles/Television_and_FIlm_Studio_Singles_63.png")</f>
        <v/>
      </c>
    </row>
    <row r="63" ht="35.25" customHeight="1">
      <c r="A63" s="16" t="s">
        <v>5610</v>
      </c>
      <c r="B63" s="16" t="str">
        <f>IMAGE("https://lmztiles.s3.eu-west-1.amazonaws.com/Modern_Interiors_v41.3.4/1_Interiors/16x16/Theme_Sorter_Singles/23_Television_and_Film_Studio_SIngles/Television_and_FIlm_Studio_Singles_64.png")</f>
        <v/>
      </c>
    </row>
    <row r="64" ht="35.25" customHeight="1">
      <c r="A64" s="16" t="s">
        <v>5611</v>
      </c>
      <c r="B64" s="16" t="str">
        <f>IMAGE("https://lmztiles.s3.eu-west-1.amazonaws.com/Modern_Interiors_v41.3.4/1_Interiors/16x16/Theme_Sorter_Singles/23_Television_and_Film_Studio_SIngles/Television_and_FIlm_Studio_Singles_65.png")</f>
        <v/>
      </c>
    </row>
    <row r="65" ht="35.25" customHeight="1">
      <c r="A65" s="16" t="s">
        <v>5612</v>
      </c>
      <c r="B65" s="16" t="str">
        <f>IMAGE("https://lmztiles.s3.eu-west-1.amazonaws.com/Modern_Interiors_v41.3.4/1_Interiors/16x16/Theme_Sorter_Singles/23_Television_and_Film_Studio_SIngles/Television_and_FIlm_Studio_Singles_66.png")</f>
        <v/>
      </c>
    </row>
    <row r="66" ht="35.25" customHeight="1">
      <c r="A66" s="16" t="s">
        <v>5613</v>
      </c>
      <c r="B66" s="16" t="str">
        <f>IMAGE("https://lmztiles.s3.eu-west-1.amazonaws.com/Modern_Interiors_v41.3.4/1_Interiors/16x16/Theme_Sorter_Singles/23_Television_and_Film_Studio_SIngles/Television_and_FIlm_Studio_Singles_67.png")</f>
        <v/>
      </c>
    </row>
    <row r="67" ht="35.25" customHeight="1">
      <c r="A67" s="16" t="s">
        <v>5614</v>
      </c>
      <c r="B67" s="16" t="str">
        <f>IMAGE("https://lmztiles.s3.eu-west-1.amazonaws.com/Modern_Interiors_v41.3.4/1_Interiors/16x16/Theme_Sorter_Singles/23_Television_and_Film_Studio_SIngles/Television_and_FIlm_Studio_Singles_68.png")</f>
        <v/>
      </c>
    </row>
    <row r="68" ht="35.25" customHeight="1">
      <c r="A68" s="16" t="s">
        <v>5615</v>
      </c>
      <c r="B68" s="16" t="str">
        <f>IMAGE("https://lmztiles.s3.eu-west-1.amazonaws.com/Modern_Interiors_v41.3.4/1_Interiors/16x16/Theme_Sorter_Singles/23_Television_and_Film_Studio_SIngles/Television_and_FIlm_Studio_Singles_69.png")</f>
        <v/>
      </c>
    </row>
    <row r="69" ht="35.25" customHeight="1">
      <c r="A69" s="16" t="s">
        <v>5616</v>
      </c>
      <c r="B69" s="16" t="str">
        <f>IMAGE("https://lmztiles.s3.eu-west-1.amazonaws.com/Modern_Interiors_v41.3.4/1_Interiors/16x16/Theme_Sorter_Singles/23_Television_and_Film_Studio_SIngles/Television_and_FIlm_Studio_Singles_70.png")</f>
        <v/>
      </c>
    </row>
    <row r="70" ht="35.25" customHeight="1">
      <c r="A70" s="16" t="s">
        <v>5617</v>
      </c>
      <c r="B70" s="16" t="str">
        <f>IMAGE("https://lmztiles.s3.eu-west-1.amazonaws.com/Modern_Interiors_v41.3.4/1_Interiors/16x16/Theme_Sorter_Singles/23_Television_and_Film_Studio_SIngles/Television_and_FIlm_Studio_Singles_71.png")</f>
        <v/>
      </c>
    </row>
    <row r="71" ht="35.25" customHeight="1">
      <c r="A71" s="16" t="s">
        <v>5618</v>
      </c>
      <c r="B71" s="16" t="str">
        <f>IMAGE("https://lmztiles.s3.eu-west-1.amazonaws.com/Modern_Interiors_v41.3.4/1_Interiors/16x16/Theme_Sorter_Singles/23_Television_and_Film_Studio_SIngles/Television_and_FIlm_Studio_Singles_72.png")</f>
        <v/>
      </c>
    </row>
    <row r="72" ht="35.25" customHeight="1">
      <c r="A72" s="16" t="s">
        <v>5619</v>
      </c>
      <c r="B72" s="16" t="str">
        <f>IMAGE("https://lmztiles.s3.eu-west-1.amazonaws.com/Modern_Interiors_v41.3.4/1_Interiors/16x16/Theme_Sorter_Singles/23_Television_and_Film_Studio_SIngles/Television_and_FIlm_Studio_Singles_73.png")</f>
        <v/>
      </c>
    </row>
    <row r="73" ht="35.25" customHeight="1">
      <c r="A73" s="16" t="s">
        <v>5620</v>
      </c>
      <c r="B73" s="16" t="str">
        <f>IMAGE("https://lmztiles.s3.eu-west-1.amazonaws.com/Modern_Interiors_v41.3.4/1_Interiors/16x16/Theme_Sorter_Singles/23_Television_and_Film_Studio_SIngles/Television_and_FIlm_Studio_Singles_74.png")</f>
        <v/>
      </c>
    </row>
    <row r="74" ht="35.25" customHeight="1">
      <c r="A74" s="16" t="s">
        <v>5621</v>
      </c>
      <c r="B74" s="16" t="str">
        <f>IMAGE("https://lmztiles.s3.eu-west-1.amazonaws.com/Modern_Interiors_v41.3.4/1_Interiors/16x16/Theme_Sorter_Singles/23_Television_and_Film_Studio_SIngles/Television_and_FIlm_Studio_Singles_75.png")</f>
        <v/>
      </c>
    </row>
    <row r="75" ht="35.25" customHeight="1">
      <c r="A75" s="16" t="s">
        <v>5622</v>
      </c>
      <c r="B75" s="16" t="str">
        <f>IMAGE("https://lmztiles.s3.eu-west-1.amazonaws.com/Modern_Interiors_v41.3.4/1_Interiors/16x16/Theme_Sorter_Singles/23_Television_and_Film_Studio_SIngles/Television_and_FIlm_Studio_Singles_76.png")</f>
        <v/>
      </c>
    </row>
    <row r="76" ht="35.25" customHeight="1">
      <c r="A76" s="16" t="s">
        <v>5623</v>
      </c>
      <c r="B76" s="16" t="str">
        <f>IMAGE("https://lmztiles.s3.eu-west-1.amazonaws.com/Modern_Interiors_v41.3.4/1_Interiors/16x16/Theme_Sorter_Singles/23_Television_and_Film_Studio_SIngles/Television_and_FIlm_Studio_Singles_77.png")</f>
        <v/>
      </c>
    </row>
    <row r="77" ht="35.25" customHeight="1">
      <c r="A77" s="16" t="s">
        <v>5624</v>
      </c>
      <c r="B77" s="16" t="str">
        <f>IMAGE("https://lmztiles.s3.eu-west-1.amazonaws.com/Modern_Interiors_v41.3.4/1_Interiors/16x16/Theme_Sorter_Singles/23_Television_and_Film_Studio_SIngles/Television_and_FIlm_Studio_Singles_78.png")</f>
        <v/>
      </c>
    </row>
    <row r="78" ht="35.25" customHeight="1">
      <c r="A78" s="16" t="s">
        <v>5625</v>
      </c>
      <c r="B78" s="16" t="str">
        <f>IMAGE("https://lmztiles.s3.eu-west-1.amazonaws.com/Modern_Interiors_v41.3.4/1_Interiors/16x16/Theme_Sorter_Singles/23_Television_and_Film_Studio_SIngles/Television_and_FIlm_Studio_Singles_79.png")</f>
        <v/>
      </c>
    </row>
    <row r="79" ht="35.25" customHeight="1">
      <c r="A79" s="16" t="s">
        <v>5626</v>
      </c>
      <c r="B79" s="16" t="str">
        <f>IMAGE("https://lmztiles.s3.eu-west-1.amazonaws.com/Modern_Interiors_v41.3.4/1_Interiors/16x16/Theme_Sorter_Singles/23_Television_and_Film_Studio_SIngles/Television_and_FIlm_Studio_Singles_80.png")</f>
        <v/>
      </c>
    </row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35.25" customHeight="1"/>
    <row r="136" ht="35.25" customHeight="1"/>
    <row r="137" ht="35.25" customHeight="1"/>
    <row r="138" ht="35.25" customHeight="1"/>
    <row r="139" ht="35.25" customHeight="1"/>
    <row r="140" ht="35.25" customHeight="1"/>
    <row r="141" ht="35.25" customHeight="1"/>
    <row r="142" ht="35.25" customHeight="1"/>
    <row r="143" ht="35.25" customHeight="1"/>
    <row r="144" ht="35.25" customHeight="1"/>
    <row r="145" ht="35.25" customHeight="1"/>
    <row r="146" ht="35.25" customHeight="1"/>
    <row r="147" ht="35.25" customHeight="1"/>
    <row r="148" ht="35.25" customHeight="1"/>
    <row r="149" ht="35.25" customHeight="1"/>
    <row r="150" ht="35.25" customHeight="1"/>
    <row r="151" ht="35.25" customHeight="1"/>
    <row r="152" ht="35.25" customHeight="1"/>
    <row r="153" ht="35.25" customHeight="1"/>
    <row r="154" ht="35.25" customHeight="1"/>
    <row r="155" ht="35.25" customHeight="1"/>
    <row r="156" ht="35.25" customHeight="1"/>
    <row r="157" ht="35.25" customHeight="1"/>
    <row r="158" ht="35.25" customHeight="1"/>
    <row r="159" ht="35.25" customHeight="1"/>
    <row r="160" ht="35.25" customHeight="1"/>
    <row r="161" ht="35.25" customHeight="1"/>
    <row r="162" ht="35.25" customHeight="1"/>
    <row r="163" ht="35.25" customHeight="1"/>
    <row r="164" ht="35.25" customHeight="1"/>
    <row r="165" ht="35.25" customHeight="1"/>
    <row r="166" ht="35.25" customHeight="1"/>
    <row r="167" ht="35.25" customHeight="1"/>
    <row r="168" ht="35.25" customHeight="1"/>
    <row r="169" ht="35.25" customHeight="1"/>
    <row r="170" ht="35.25" customHeight="1"/>
    <row r="171" ht="35.25" customHeight="1"/>
    <row r="172" ht="35.25" customHeight="1"/>
    <row r="173" ht="35.25" customHeight="1"/>
    <row r="174" ht="35.25" customHeight="1"/>
    <row r="175" ht="35.25" customHeight="1"/>
    <row r="176" ht="35.25" customHeight="1"/>
    <row r="177" ht="35.25" customHeight="1"/>
    <row r="178" ht="35.25" customHeight="1"/>
    <row r="179" ht="35.25" customHeight="1"/>
    <row r="180" ht="35.25" customHeight="1"/>
    <row r="181" ht="35.25" customHeight="1"/>
    <row r="182" ht="35.25" customHeight="1"/>
    <row r="183" ht="35.25" customHeight="1"/>
    <row r="184" ht="35.25" customHeight="1"/>
    <row r="185" ht="35.25" customHeight="1"/>
    <row r="186" ht="35.25" customHeight="1"/>
    <row r="187" ht="35.25" customHeight="1"/>
    <row r="188" ht="35.25" customHeight="1"/>
    <row r="189" ht="35.25" customHeight="1"/>
    <row r="190" ht="35.25" customHeight="1"/>
    <row r="191" ht="35.25" customHeight="1"/>
    <row r="192" ht="35.25" customHeight="1"/>
    <row r="193" ht="35.25" customHeight="1"/>
    <row r="194" ht="35.25" customHeight="1"/>
    <row r="195" ht="35.25" customHeight="1"/>
    <row r="196" ht="35.25" customHeight="1"/>
    <row r="197" ht="35.25" customHeight="1"/>
    <row r="198" ht="35.25" customHeight="1"/>
    <row r="199" ht="35.25" customHeight="1"/>
    <row r="200" ht="35.25" customHeight="1"/>
    <row r="201" ht="35.25" customHeight="1"/>
    <row r="202" ht="35.25" customHeight="1"/>
    <row r="203" ht="35.25" customHeight="1"/>
    <row r="204" ht="35.25" customHeight="1"/>
    <row r="205" ht="35.25" customHeight="1"/>
    <row r="206" ht="35.25" customHeight="1"/>
    <row r="207" ht="35.25" customHeight="1"/>
    <row r="208" ht="35.25" customHeight="1"/>
    <row r="209" ht="35.25" customHeight="1"/>
    <row r="210" ht="35.25" customHeight="1"/>
    <row r="211" ht="35.25" customHeight="1"/>
    <row r="212" ht="35.25" customHeight="1"/>
    <row r="213" ht="35.25" customHeight="1"/>
    <row r="214" ht="35.25" customHeight="1"/>
    <row r="215" ht="35.25" customHeight="1"/>
    <row r="216" ht="35.25" customHeight="1"/>
    <row r="217" ht="35.25" customHeight="1"/>
    <row r="218" ht="35.25" customHeight="1"/>
    <row r="219" ht="35.25" customHeight="1"/>
    <row r="220" ht="35.25" customHeight="1"/>
    <row r="221" ht="35.25" customHeight="1"/>
    <row r="222" ht="35.25" customHeight="1"/>
    <row r="223" ht="35.25" customHeight="1"/>
    <row r="224" ht="35.25" customHeight="1"/>
    <row r="225" ht="35.25" customHeight="1"/>
    <row r="226" ht="35.25" customHeight="1"/>
    <row r="227" ht="35.25" customHeight="1"/>
    <row r="228" ht="35.25" customHeight="1"/>
    <row r="229" ht="35.25" customHeight="1"/>
    <row r="230" ht="35.25" customHeight="1"/>
    <row r="231" ht="35.25" customHeight="1"/>
    <row r="232" ht="35.25" customHeight="1"/>
    <row r="233" ht="35.25" customHeight="1"/>
    <row r="234" ht="35.25" customHeight="1"/>
    <row r="235" ht="35.25" customHeight="1"/>
    <row r="236" ht="35.25" customHeight="1"/>
    <row r="237" ht="35.25" customHeight="1"/>
    <row r="238" ht="35.25" customHeight="1"/>
    <row r="239" ht="35.25" customHeight="1"/>
    <row r="240" ht="35.25" customHeight="1"/>
    <row r="241" ht="35.25" customHeight="1"/>
    <row r="242" ht="35.25" customHeight="1"/>
    <row r="243" ht="35.25" customHeight="1"/>
    <row r="244" ht="35.25" customHeight="1"/>
    <row r="245" ht="35.25" customHeight="1"/>
    <row r="246" ht="35.25" customHeight="1"/>
    <row r="247" ht="35.25" customHeight="1"/>
    <row r="248" ht="35.25" customHeight="1"/>
    <row r="249" ht="35.25" customHeight="1"/>
    <row r="250" ht="35.25" customHeight="1"/>
    <row r="251" ht="35.25" customHeight="1"/>
    <row r="252" ht="35.25" customHeight="1"/>
    <row r="253" ht="35.25" customHeight="1"/>
    <row r="254" ht="35.25" customHeight="1"/>
    <row r="255" ht="35.25" customHeight="1"/>
    <row r="256" ht="35.25" customHeight="1"/>
    <row r="257" ht="35.25" customHeight="1"/>
    <row r="258" ht="35.25" customHeight="1"/>
    <row r="259" ht="35.25" customHeight="1"/>
    <row r="260" ht="35.25" customHeight="1"/>
    <row r="261" ht="35.25" customHeight="1"/>
    <row r="262" ht="35.25" customHeight="1"/>
    <row r="263" ht="35.25" customHeight="1"/>
    <row r="264" ht="35.25" customHeight="1"/>
    <row r="265" ht="35.25" customHeight="1"/>
    <row r="266" ht="35.25" customHeight="1"/>
    <row r="267" ht="35.25" customHeight="1"/>
    <row r="268" ht="35.25" customHeight="1"/>
    <row r="269" ht="35.25" customHeight="1"/>
    <row r="270" ht="35.25" customHeight="1"/>
    <row r="271" ht="35.25" customHeight="1"/>
    <row r="272" ht="35.25" customHeight="1"/>
    <row r="273" ht="35.25" customHeight="1"/>
    <row r="274" ht="35.25" customHeight="1"/>
    <row r="275" ht="35.25" customHeight="1"/>
    <row r="276" ht="35.25" customHeight="1"/>
    <row r="277" ht="35.25" customHeight="1"/>
    <row r="278" ht="35.25" customHeight="1"/>
    <row r="279" ht="35.25" customHeight="1"/>
    <row r="280" ht="35.25" customHeight="1"/>
    <row r="281" ht="35.25" customHeight="1"/>
    <row r="282" ht="35.25" customHeight="1"/>
    <row r="283" ht="35.25" customHeight="1"/>
    <row r="284" ht="35.25" customHeight="1"/>
    <row r="285" ht="35.25" customHeight="1"/>
    <row r="286" ht="35.25" customHeight="1"/>
    <row r="287" ht="35.25" customHeight="1"/>
    <row r="288" ht="35.25" customHeight="1"/>
    <row r="289" ht="35.25" customHeight="1"/>
    <row r="290" ht="35.25" customHeight="1"/>
    <row r="291" ht="35.25" customHeight="1"/>
    <row r="292" ht="35.25" customHeight="1"/>
    <row r="293" ht="35.25" customHeight="1"/>
    <row r="294" ht="35.25" customHeight="1"/>
    <row r="295" ht="35.25" customHeight="1"/>
    <row r="296" ht="35.25" customHeight="1"/>
    <row r="297" ht="35.25" customHeight="1"/>
    <row r="298" ht="35.25" customHeight="1"/>
    <row r="299" ht="35.25" customHeight="1"/>
    <row r="300" ht="35.25" customHeight="1"/>
    <row r="301" ht="35.25" customHeight="1"/>
    <row r="302" ht="35.25" customHeight="1"/>
    <row r="303" ht="35.25" customHeight="1"/>
    <row r="304" ht="35.25" customHeight="1"/>
    <row r="305" ht="35.25" customHeight="1"/>
    <row r="306" ht="35.25" customHeight="1"/>
    <row r="307" ht="35.25" customHeight="1"/>
    <row r="308" ht="35.25" customHeight="1"/>
    <row r="309" ht="35.25" customHeight="1"/>
    <row r="310" ht="35.25" customHeight="1"/>
    <row r="311" ht="35.25" customHeight="1"/>
    <row r="312" ht="35.25" customHeight="1"/>
    <row r="313" ht="35.25" customHeight="1"/>
    <row r="314" ht="35.25" customHeight="1"/>
    <row r="315" ht="35.25" customHeight="1"/>
    <row r="316" ht="35.25" customHeight="1"/>
    <row r="317" ht="35.25" customHeight="1"/>
    <row r="318" ht="35.25" customHeight="1"/>
    <row r="319" ht="35.25" customHeight="1"/>
    <row r="320" ht="35.25" customHeight="1"/>
    <row r="321" ht="35.25" customHeight="1"/>
    <row r="322" ht="35.25" customHeight="1"/>
    <row r="323" ht="35.25" customHeight="1"/>
    <row r="324" ht="35.25" customHeight="1"/>
    <row r="325" ht="35.25" customHeight="1"/>
    <row r="326" ht="35.25" customHeight="1"/>
    <row r="327" ht="35.25" customHeight="1"/>
    <row r="328" ht="35.25" customHeight="1"/>
    <row r="329" ht="35.25" customHeight="1"/>
    <row r="330" ht="35.25" customHeight="1"/>
    <row r="331" ht="35.25" customHeight="1"/>
    <row r="332" ht="35.25" customHeight="1"/>
    <row r="333" ht="35.25" customHeight="1"/>
    <row r="334" ht="35.25" customHeight="1"/>
    <row r="335" ht="35.25" customHeight="1"/>
    <row r="336" ht="35.25" customHeight="1"/>
    <row r="337" ht="35.25" customHeight="1"/>
    <row r="338" ht="35.25" customHeight="1"/>
    <row r="339" ht="35.25" customHeight="1"/>
    <row r="340" ht="35.25" customHeight="1"/>
    <row r="341" ht="35.25" customHeight="1"/>
    <row r="342" ht="35.25" customHeight="1"/>
    <row r="343" ht="35.25" customHeight="1"/>
    <row r="344" ht="35.25" customHeight="1"/>
    <row r="345" ht="35.25" customHeight="1"/>
    <row r="346" ht="35.25" customHeight="1"/>
    <row r="347" ht="35.25" customHeight="1"/>
    <row r="348" ht="35.25" customHeight="1"/>
    <row r="349" ht="35.25" customHeight="1"/>
    <row r="350" ht="35.25" customHeight="1"/>
    <row r="351" ht="35.25" customHeight="1"/>
    <row r="352" ht="35.25" customHeight="1"/>
    <row r="353" ht="35.25" customHeight="1"/>
    <row r="354" ht="35.25" customHeight="1"/>
    <row r="355" ht="35.25" customHeight="1"/>
    <row r="356" ht="35.25" customHeight="1"/>
    <row r="357" ht="35.25" customHeight="1"/>
    <row r="358" ht="35.25" customHeight="1"/>
    <row r="359" ht="35.25" customHeight="1"/>
    <row r="360" ht="35.25" customHeight="1"/>
    <row r="361" ht="35.25" customHeight="1"/>
    <row r="362" ht="35.25" customHeight="1"/>
    <row r="363" ht="35.25" customHeight="1"/>
    <row r="364" ht="35.25" customHeight="1"/>
    <row r="365" ht="35.25" customHeight="1"/>
    <row r="366" ht="35.25" customHeight="1"/>
    <row r="367" ht="35.25" customHeight="1"/>
    <row r="368" ht="35.25" customHeight="1"/>
    <row r="369" ht="35.25" customHeight="1"/>
    <row r="370" ht="35.25" customHeight="1"/>
    <row r="371" ht="35.25" customHeight="1"/>
    <row r="372" ht="35.25" customHeight="1"/>
    <row r="373" ht="35.25" customHeight="1"/>
    <row r="374" ht="35.25" customHeight="1"/>
    <row r="375" ht="35.25" customHeight="1"/>
    <row r="376" ht="35.25" customHeight="1"/>
    <row r="377" ht="35.25" customHeight="1"/>
    <row r="378" ht="35.25" customHeight="1"/>
    <row r="379" ht="35.25" customHeight="1"/>
    <row r="380" ht="35.25" customHeight="1"/>
    <row r="381" ht="35.25" customHeight="1"/>
    <row r="382" ht="35.25" customHeight="1"/>
    <row r="383" ht="35.25" customHeight="1"/>
    <row r="384" ht="35.25" customHeight="1"/>
    <row r="385" ht="35.25" customHeight="1"/>
    <row r="386" ht="35.25" customHeight="1"/>
    <row r="387" ht="35.25" customHeight="1"/>
    <row r="388" ht="35.25" customHeight="1"/>
    <row r="389" ht="35.25" customHeight="1"/>
    <row r="390" ht="35.25" customHeight="1"/>
    <row r="391" ht="35.25" customHeight="1"/>
    <row r="392" ht="35.25" customHeight="1"/>
    <row r="393" ht="35.25" customHeight="1"/>
    <row r="394" ht="35.25" customHeight="1"/>
    <row r="395" ht="35.25" customHeight="1"/>
    <row r="396" ht="35.25" customHeight="1"/>
    <row r="397" ht="35.25" customHeight="1"/>
    <row r="398" ht="35.25" customHeight="1"/>
    <row r="399" ht="35.25" customHeight="1"/>
    <row r="400" ht="35.25" customHeight="1"/>
    <row r="401" ht="35.25" customHeight="1"/>
    <row r="402" ht="35.25" customHeight="1"/>
    <row r="403" ht="35.25" customHeight="1"/>
    <row r="404" ht="35.25" customHeight="1"/>
    <row r="405" ht="35.25" customHeight="1"/>
    <row r="406" ht="35.25" customHeight="1"/>
    <row r="407" ht="35.25" customHeight="1"/>
    <row r="408" ht="35.25" customHeight="1"/>
    <row r="409" ht="35.25" customHeight="1"/>
    <row r="410" ht="35.25" customHeight="1"/>
    <row r="411" ht="35.25" customHeight="1"/>
    <row r="412" ht="35.25" customHeight="1"/>
    <row r="413" ht="35.25" customHeight="1"/>
    <row r="414" ht="35.25" customHeight="1"/>
    <row r="415" ht="35.25" customHeight="1"/>
    <row r="416" ht="35.25" customHeight="1"/>
    <row r="417" ht="35.25" customHeight="1"/>
    <row r="418" ht="35.25" customHeight="1"/>
    <row r="419" ht="35.25" customHeight="1"/>
    <row r="420" ht="35.25" customHeight="1"/>
    <row r="421" ht="35.25" customHeight="1"/>
    <row r="422" ht="35.25" customHeight="1"/>
    <row r="423" ht="35.25" customHeight="1"/>
    <row r="424" ht="35.25" customHeight="1"/>
    <row r="425" ht="35.25" customHeight="1"/>
    <row r="426" ht="35.25" customHeight="1"/>
    <row r="427" ht="35.25" customHeight="1"/>
    <row r="428" ht="35.25" customHeight="1"/>
    <row r="429" ht="35.25" customHeight="1"/>
    <row r="430" ht="35.25" customHeight="1"/>
    <row r="431" ht="35.25" customHeight="1"/>
    <row r="432" ht="35.25" customHeight="1"/>
    <row r="433" ht="35.25" customHeight="1"/>
    <row r="434" ht="35.25" customHeight="1"/>
    <row r="435" ht="35.25" customHeight="1"/>
    <row r="436" ht="35.25" customHeight="1"/>
    <row r="437" ht="35.25" customHeight="1"/>
    <row r="438" ht="35.25" customHeight="1"/>
    <row r="439" ht="35.25" customHeight="1"/>
    <row r="440" ht="35.25" customHeight="1"/>
    <row r="441" ht="35.25" customHeight="1"/>
    <row r="442" ht="35.25" customHeight="1"/>
    <row r="443" ht="35.25" customHeight="1"/>
    <row r="444" ht="35.25" customHeight="1"/>
    <row r="445" ht="35.25" customHeight="1"/>
    <row r="446" ht="35.25" customHeight="1"/>
    <row r="447" ht="35.25" customHeight="1"/>
    <row r="448" ht="35.25" customHeight="1"/>
    <row r="449" ht="35.25" customHeight="1"/>
    <row r="450" ht="35.25" customHeight="1"/>
    <row r="451" ht="35.25" customHeight="1"/>
    <row r="452" ht="35.25" customHeight="1"/>
    <row r="453" ht="35.25" customHeight="1"/>
    <row r="454" ht="35.25" customHeight="1"/>
    <row r="455" ht="35.25" customHeight="1"/>
    <row r="456" ht="35.25" customHeight="1"/>
    <row r="457" ht="35.25" customHeight="1"/>
    <row r="458" ht="35.25" customHeight="1"/>
    <row r="459" ht="35.25" customHeight="1"/>
    <row r="460" ht="35.25" customHeight="1"/>
    <row r="461" ht="35.25" customHeight="1"/>
    <row r="462" ht="35.25" customHeight="1"/>
    <row r="463" ht="35.25" customHeight="1"/>
    <row r="464" ht="35.25" customHeight="1"/>
    <row r="465" ht="35.25" customHeight="1"/>
    <row r="466" ht="35.25" customHeight="1"/>
    <row r="467" ht="35.25" customHeight="1"/>
    <row r="468" ht="35.25" customHeight="1"/>
    <row r="469" ht="35.25" customHeight="1"/>
    <row r="470" ht="35.25" customHeight="1"/>
    <row r="471" ht="35.25" customHeight="1"/>
    <row r="472" ht="35.25" customHeight="1"/>
    <row r="473" ht="35.25" customHeight="1"/>
    <row r="474" ht="35.25" customHeight="1"/>
    <row r="475" ht="35.25" customHeight="1"/>
    <row r="476" ht="35.25" customHeight="1"/>
    <row r="477" ht="35.25" customHeight="1"/>
    <row r="478" ht="35.25" customHeight="1"/>
    <row r="479" ht="35.25" customHeight="1"/>
    <row r="480" ht="35.25" customHeight="1"/>
    <row r="481" ht="35.25" customHeight="1"/>
    <row r="482" ht="35.25" customHeight="1"/>
    <row r="483" ht="35.25" customHeight="1"/>
    <row r="484" ht="35.25" customHeight="1"/>
    <row r="485" ht="35.25" customHeight="1"/>
    <row r="486" ht="35.25" customHeight="1"/>
    <row r="487" ht="35.25" customHeight="1"/>
    <row r="488" ht="35.25" customHeight="1"/>
    <row r="489" ht="35.25" customHeight="1"/>
    <row r="490" ht="35.25" customHeight="1"/>
    <row r="491" ht="35.25" customHeight="1"/>
    <row r="492" ht="35.25" customHeight="1"/>
    <row r="493" ht="35.25" customHeight="1"/>
    <row r="494" ht="35.25" customHeight="1"/>
    <row r="495" ht="35.25" customHeight="1"/>
    <row r="496" ht="35.25" customHeight="1"/>
    <row r="497" ht="35.25" customHeight="1"/>
    <row r="498" ht="35.25" customHeight="1"/>
    <row r="499" ht="35.25" customHeight="1"/>
    <row r="500" ht="35.25" customHeight="1"/>
    <row r="501" ht="35.25" customHeight="1"/>
    <row r="502" ht="35.25" customHeight="1"/>
    <row r="503" ht="35.25" customHeight="1"/>
    <row r="504" ht="35.25" customHeight="1"/>
    <row r="505" ht="35.25" customHeight="1"/>
    <row r="506" ht="35.25" customHeight="1"/>
    <row r="507" ht="35.25" customHeight="1"/>
    <row r="508" ht="35.25" customHeight="1"/>
    <row r="509" ht="35.25" customHeight="1"/>
    <row r="510" ht="35.25" customHeight="1"/>
    <row r="511" ht="35.25" customHeight="1"/>
    <row r="512" ht="35.25" customHeight="1"/>
    <row r="513" ht="35.25" customHeight="1"/>
    <row r="514" ht="35.25" customHeight="1"/>
    <row r="515" ht="35.25" customHeight="1"/>
    <row r="516" ht="35.25" customHeight="1"/>
    <row r="517" ht="35.25" customHeight="1"/>
    <row r="518" ht="35.25" customHeight="1"/>
    <row r="519" ht="35.25" customHeight="1"/>
    <row r="520" ht="35.25" customHeight="1"/>
    <row r="521" ht="35.25" customHeight="1"/>
    <row r="522" ht="35.25" customHeight="1"/>
    <row r="523" ht="35.25" customHeight="1"/>
    <row r="524" ht="35.25" customHeight="1"/>
    <row r="525" ht="35.25" customHeight="1"/>
    <row r="526" ht="35.25" customHeight="1"/>
    <row r="527" ht="35.25" customHeight="1"/>
    <row r="528" ht="35.25" customHeight="1"/>
    <row r="529" ht="35.25" customHeight="1"/>
    <row r="530" ht="35.25" customHeight="1"/>
    <row r="531" ht="35.25" customHeight="1"/>
    <row r="532" ht="35.25" customHeight="1"/>
    <row r="533" ht="35.25" customHeight="1"/>
    <row r="534" ht="35.25" customHeight="1"/>
    <row r="535" ht="35.25" customHeight="1"/>
    <row r="536" ht="35.25" customHeight="1"/>
    <row r="537" ht="35.25" customHeight="1"/>
    <row r="538" ht="35.25" customHeight="1"/>
    <row r="539" ht="35.25" customHeight="1"/>
    <row r="540" ht="35.25" customHeight="1"/>
    <row r="541" ht="35.25" customHeight="1"/>
    <row r="542" ht="35.25" customHeight="1"/>
    <row r="543" ht="35.25" customHeight="1"/>
    <row r="544" ht="35.25" customHeight="1"/>
    <row r="545" ht="35.25" customHeight="1"/>
    <row r="546" ht="35.25" customHeight="1"/>
    <row r="547" ht="35.25" customHeight="1"/>
    <row r="548" ht="35.25" customHeight="1"/>
    <row r="549" ht="35.25" customHeight="1"/>
    <row r="550" ht="35.25" customHeight="1"/>
    <row r="551" ht="35.25" customHeight="1"/>
    <row r="552" ht="35.25" customHeight="1"/>
    <row r="553" ht="35.25" customHeight="1"/>
    <row r="554" ht="35.25" customHeight="1"/>
    <row r="555" ht="35.25" customHeight="1"/>
    <row r="556" ht="35.25" customHeight="1"/>
    <row r="557" ht="35.25" customHeight="1"/>
    <row r="558" ht="35.25" customHeight="1"/>
    <row r="559" ht="35.25" customHeight="1"/>
    <row r="560" ht="35.25" customHeight="1"/>
    <row r="561" ht="35.25" customHeight="1"/>
    <row r="562" ht="35.25" customHeight="1"/>
    <row r="563" ht="35.25" customHeight="1"/>
    <row r="564" ht="35.25" customHeight="1"/>
    <row r="565" ht="35.25" customHeight="1"/>
    <row r="566" ht="35.25" customHeight="1"/>
    <row r="567" ht="35.25" customHeight="1"/>
    <row r="568" ht="35.25" customHeight="1"/>
    <row r="569" ht="35.25" customHeight="1"/>
    <row r="570" ht="35.25" customHeight="1"/>
    <row r="571" ht="35.25" customHeight="1"/>
    <row r="572" ht="35.25" customHeight="1"/>
    <row r="573" ht="35.25" customHeight="1"/>
    <row r="574" ht="35.25" customHeight="1"/>
    <row r="575" ht="35.25" customHeight="1"/>
    <row r="576" ht="35.25" customHeight="1"/>
    <row r="577" ht="35.25" customHeight="1"/>
    <row r="578" ht="35.25" customHeight="1"/>
    <row r="579" ht="35.25" customHeight="1"/>
    <row r="580" ht="35.25" customHeight="1"/>
    <row r="581" ht="35.25" customHeight="1"/>
    <row r="582" ht="35.25" customHeight="1"/>
    <row r="583" ht="35.25" customHeight="1"/>
    <row r="584" ht="35.25" customHeight="1"/>
    <row r="585" ht="35.25" customHeight="1"/>
    <row r="586" ht="35.25" customHeight="1"/>
    <row r="587" ht="35.25" customHeight="1"/>
    <row r="588" ht="35.25" customHeight="1"/>
    <row r="589" ht="35.25" customHeight="1"/>
    <row r="590" ht="35.25" customHeight="1"/>
    <row r="591" ht="35.25" customHeight="1"/>
    <row r="592" ht="35.25" customHeight="1"/>
    <row r="593" ht="35.25" customHeight="1"/>
    <row r="594" ht="35.25" customHeight="1"/>
    <row r="595" ht="35.25" customHeight="1"/>
    <row r="596" ht="35.25" customHeight="1"/>
    <row r="597" ht="35.25" customHeight="1"/>
    <row r="598" ht="35.25" customHeight="1"/>
    <row r="599" ht="35.25" customHeight="1"/>
    <row r="600" ht="35.25" customHeight="1"/>
    <row r="601" ht="35.25" customHeight="1"/>
    <row r="602" ht="35.25" customHeight="1"/>
    <row r="603" ht="35.25" customHeight="1"/>
    <row r="604" ht="35.25" customHeight="1"/>
    <row r="605" ht="35.25" customHeight="1"/>
    <row r="606" ht="35.25" customHeight="1"/>
    <row r="607" ht="35.25" customHeight="1"/>
    <row r="608" ht="35.25" customHeight="1"/>
    <row r="609" ht="35.25" customHeight="1"/>
    <row r="610" ht="35.25" customHeight="1"/>
    <row r="611" ht="35.25" customHeight="1"/>
    <row r="612" ht="35.25" customHeight="1"/>
    <row r="613" ht="35.25" customHeight="1"/>
    <row r="614" ht="35.25" customHeight="1"/>
    <row r="615" ht="35.25" customHeight="1"/>
    <row r="616" ht="35.25" customHeight="1"/>
    <row r="617" ht="35.25" customHeight="1"/>
    <row r="618" ht="35.25" customHeight="1"/>
    <row r="619" ht="35.25" customHeight="1"/>
    <row r="620" ht="35.25" customHeight="1"/>
    <row r="621" ht="35.25" customHeight="1"/>
    <row r="622" ht="35.25" customHeight="1"/>
    <row r="623" ht="35.25" customHeight="1"/>
    <row r="624" ht="35.25" customHeight="1"/>
    <row r="625" ht="35.25" customHeight="1"/>
    <row r="626" ht="35.25" customHeight="1"/>
    <row r="627" ht="35.25" customHeight="1"/>
    <row r="628" ht="35.25" customHeight="1"/>
    <row r="629" ht="35.25" customHeight="1"/>
    <row r="630" ht="35.25" customHeight="1"/>
    <row r="631" ht="35.25" customHeight="1"/>
    <row r="632" ht="35.25" customHeight="1"/>
    <row r="633" ht="35.25" customHeight="1"/>
    <row r="634" ht="35.25" customHeight="1"/>
    <row r="635" ht="35.25" customHeight="1"/>
    <row r="636" ht="35.25" customHeight="1"/>
    <row r="637" ht="35.25" customHeight="1"/>
    <row r="638" ht="35.25" customHeight="1"/>
    <row r="639" ht="35.25" customHeight="1"/>
    <row r="640" ht="35.25" customHeight="1"/>
    <row r="641" ht="35.25" customHeight="1"/>
    <row r="642" ht="35.25" customHeight="1"/>
    <row r="643" ht="35.25" customHeight="1"/>
    <row r="644" ht="35.25" customHeight="1"/>
    <row r="645" ht="35.25" customHeight="1"/>
    <row r="646" ht="35.25" customHeight="1"/>
    <row r="647" ht="35.25" customHeight="1"/>
    <row r="648" ht="35.25" customHeight="1"/>
    <row r="649" ht="35.25" customHeight="1"/>
    <row r="650" ht="35.25" customHeight="1"/>
    <row r="651" ht="35.25" customHeight="1"/>
    <row r="652" ht="35.25" customHeight="1"/>
    <row r="653" ht="35.25" customHeight="1"/>
    <row r="654" ht="35.25" customHeight="1"/>
    <row r="655" ht="35.25" customHeight="1"/>
    <row r="656" ht="35.25" customHeight="1"/>
    <row r="657" ht="35.25" customHeight="1"/>
    <row r="658" ht="35.25" customHeight="1"/>
    <row r="659" ht="35.25" customHeight="1"/>
    <row r="660" ht="35.25" customHeight="1"/>
    <row r="661" ht="35.25" customHeight="1"/>
    <row r="662" ht="35.25" customHeight="1"/>
    <row r="663" ht="35.25" customHeight="1"/>
    <row r="664" ht="35.25" customHeight="1"/>
    <row r="665" ht="35.25" customHeight="1"/>
    <row r="666" ht="35.25" customHeight="1"/>
    <row r="667" ht="35.25" customHeight="1"/>
    <row r="668" ht="35.25" customHeight="1"/>
    <row r="669" ht="35.25" customHeight="1"/>
    <row r="670" ht="35.25" customHeight="1"/>
    <row r="671" ht="35.25" customHeight="1"/>
    <row r="672" ht="35.25" customHeight="1"/>
    <row r="673" ht="35.25" customHeight="1"/>
    <row r="674" ht="35.25" customHeight="1"/>
    <row r="675" ht="35.25" customHeight="1"/>
    <row r="676" ht="35.25" customHeight="1"/>
    <row r="677" ht="35.25" customHeight="1"/>
    <row r="678" ht="35.25" customHeight="1"/>
    <row r="679" ht="35.25" customHeight="1"/>
    <row r="680" ht="35.25" customHeight="1"/>
    <row r="681" ht="35.25" customHeight="1"/>
    <row r="682" ht="35.25" customHeight="1"/>
    <row r="683" ht="35.25" customHeight="1"/>
    <row r="684" ht="35.25" customHeight="1"/>
    <row r="685" ht="35.25" customHeight="1"/>
    <row r="686" ht="35.25" customHeight="1"/>
    <row r="687" ht="35.25" customHeight="1"/>
    <row r="688" ht="35.25" customHeight="1"/>
    <row r="689" ht="35.25" customHeight="1"/>
    <row r="690" ht="35.25" customHeight="1"/>
    <row r="691" ht="35.25" customHeight="1"/>
    <row r="692" ht="35.25" customHeight="1"/>
    <row r="693" ht="35.25" customHeight="1"/>
    <row r="694" ht="35.25" customHeight="1"/>
    <row r="695" ht="35.25" customHeight="1"/>
    <row r="696" ht="35.25" customHeight="1"/>
    <row r="697" ht="35.25" customHeight="1"/>
    <row r="698" ht="35.25" customHeight="1"/>
    <row r="699" ht="35.25" customHeight="1"/>
    <row r="700" ht="35.25" customHeight="1"/>
    <row r="701" ht="35.25" customHeight="1"/>
    <row r="702" ht="35.25" customHeight="1"/>
    <row r="703" ht="35.25" customHeight="1"/>
    <row r="704" ht="35.25" customHeight="1"/>
    <row r="705" ht="35.25" customHeight="1"/>
    <row r="706" ht="35.25" customHeight="1"/>
    <row r="707" ht="35.25" customHeight="1"/>
    <row r="708" ht="35.25" customHeight="1"/>
    <row r="709" ht="35.25" customHeight="1"/>
    <row r="710" ht="35.25" customHeight="1"/>
    <row r="711" ht="35.25" customHeight="1"/>
    <row r="712" ht="35.25" customHeight="1"/>
    <row r="713" ht="35.25" customHeight="1"/>
    <row r="714" ht="35.25" customHeight="1"/>
    <row r="715" ht="35.25" customHeight="1"/>
    <row r="716" ht="35.25" customHeight="1"/>
    <row r="717" ht="35.25" customHeight="1"/>
    <row r="718" ht="35.25" customHeight="1"/>
    <row r="719" ht="35.25" customHeight="1"/>
    <row r="720" ht="35.25" customHeight="1"/>
    <row r="721" ht="35.25" customHeight="1"/>
    <row r="722" ht="35.25" customHeight="1"/>
    <row r="723" ht="35.25" customHeight="1"/>
    <row r="724" ht="35.25" customHeight="1"/>
    <row r="725" ht="35.25" customHeight="1"/>
    <row r="726" ht="35.25" customHeight="1"/>
    <row r="727" ht="35.25" customHeight="1"/>
    <row r="728" ht="35.25" customHeight="1"/>
    <row r="729" ht="35.25" customHeight="1"/>
    <row r="730" ht="35.25" customHeight="1"/>
    <row r="731" ht="35.25" customHeight="1"/>
    <row r="732" ht="35.25" customHeight="1"/>
    <row r="733" ht="35.25" customHeight="1"/>
    <row r="734" ht="35.25" customHeight="1"/>
    <row r="735" ht="35.25" customHeight="1"/>
    <row r="736" ht="35.25" customHeight="1"/>
    <row r="737" ht="35.25" customHeight="1"/>
    <row r="738" ht="35.25" customHeight="1"/>
    <row r="739" ht="35.25" customHeight="1"/>
    <row r="740" ht="35.25" customHeight="1"/>
    <row r="741" ht="35.25" customHeight="1"/>
    <row r="742" ht="35.25" customHeight="1"/>
    <row r="743" ht="35.25" customHeight="1"/>
    <row r="744" ht="35.25" customHeight="1"/>
    <row r="745" ht="35.25" customHeight="1"/>
    <row r="746" ht="35.25" customHeight="1"/>
    <row r="747" ht="35.25" customHeight="1"/>
    <row r="748" ht="35.25" customHeight="1"/>
    <row r="749" ht="35.25" customHeight="1"/>
    <row r="750" ht="35.25" customHeight="1"/>
    <row r="751" ht="35.25" customHeight="1"/>
    <row r="752" ht="35.25" customHeight="1"/>
    <row r="753" ht="35.25" customHeight="1"/>
    <row r="754" ht="35.25" customHeight="1"/>
    <row r="755" ht="35.25" customHeight="1"/>
    <row r="756" ht="35.25" customHeight="1"/>
    <row r="757" ht="35.25" customHeight="1"/>
    <row r="758" ht="35.25" customHeight="1"/>
    <row r="759" ht="35.25" customHeight="1"/>
    <row r="760" ht="35.25" customHeight="1"/>
    <row r="761" ht="35.25" customHeight="1"/>
    <row r="762" ht="35.25" customHeight="1"/>
    <row r="763" ht="35.25" customHeight="1"/>
    <row r="764" ht="35.25" customHeight="1"/>
    <row r="765" ht="35.25" customHeight="1"/>
    <row r="766" ht="35.25" customHeight="1"/>
    <row r="767" ht="35.25" customHeight="1"/>
    <row r="768" ht="35.25" customHeight="1"/>
    <row r="769" ht="35.25" customHeight="1"/>
    <row r="770" ht="35.25" customHeight="1"/>
    <row r="771" ht="35.25" customHeight="1"/>
    <row r="772" ht="35.25" customHeight="1"/>
    <row r="773" ht="35.25" customHeight="1"/>
    <row r="774" ht="35.25" customHeight="1"/>
    <row r="775" ht="35.25" customHeight="1"/>
    <row r="776" ht="35.25" customHeight="1"/>
    <row r="777" ht="35.25" customHeight="1"/>
    <row r="778" ht="35.25" customHeight="1"/>
    <row r="779" ht="35.25" customHeight="1"/>
    <row r="780" ht="35.25" customHeight="1"/>
    <row r="781" ht="35.25" customHeight="1"/>
    <row r="782" ht="35.25" customHeight="1"/>
    <row r="783" ht="35.25" customHeight="1"/>
    <row r="784" ht="35.25" customHeight="1"/>
    <row r="785" ht="35.25" customHeight="1"/>
    <row r="786" ht="35.25" customHeight="1"/>
    <row r="787" ht="35.25" customHeight="1"/>
    <row r="788" ht="35.25" customHeight="1"/>
    <row r="789" ht="35.25" customHeight="1"/>
    <row r="790" ht="35.25" customHeight="1"/>
    <row r="791" ht="35.25" customHeight="1"/>
    <row r="792" ht="35.25" customHeight="1"/>
    <row r="793" ht="35.25" customHeight="1"/>
    <row r="794" ht="35.25" customHeight="1"/>
    <row r="795" ht="35.25" customHeight="1"/>
    <row r="796" ht="35.25" customHeight="1"/>
    <row r="797" ht="35.25" customHeight="1"/>
    <row r="798" ht="35.25" customHeight="1"/>
    <row r="799" ht="35.25" customHeight="1"/>
    <row r="800" ht="35.25" customHeight="1"/>
    <row r="801" ht="35.25" customHeight="1"/>
    <row r="802" ht="35.25" customHeight="1"/>
    <row r="803" ht="35.25" customHeight="1"/>
    <row r="804" ht="35.25" customHeight="1"/>
    <row r="805" ht="35.25" customHeight="1"/>
    <row r="806" ht="35.25" customHeight="1"/>
    <row r="807" ht="35.25" customHeight="1"/>
    <row r="808" ht="35.25" customHeight="1"/>
    <row r="809" ht="35.25" customHeight="1"/>
    <row r="810" ht="35.25" customHeight="1"/>
    <row r="811" ht="35.25" customHeight="1"/>
    <row r="812" ht="35.25" customHeight="1"/>
    <row r="813" ht="35.25" customHeight="1"/>
    <row r="814" ht="35.25" customHeight="1"/>
    <row r="815" ht="35.25" customHeight="1"/>
    <row r="816" ht="35.25" customHeight="1"/>
    <row r="817" ht="35.25" customHeight="1"/>
    <row r="818" ht="35.25" customHeight="1"/>
    <row r="819" ht="35.25" customHeight="1"/>
    <row r="820" ht="35.25" customHeight="1"/>
    <row r="821" ht="35.25" customHeight="1"/>
    <row r="822" ht="35.25" customHeight="1"/>
    <row r="823" ht="35.25" customHeight="1"/>
    <row r="824" ht="35.25" customHeight="1"/>
    <row r="825" ht="35.25" customHeight="1"/>
    <row r="826" ht="35.25" customHeight="1"/>
    <row r="827" ht="35.25" customHeight="1"/>
    <row r="828" ht="35.25" customHeight="1"/>
    <row r="829" ht="35.25" customHeight="1"/>
    <row r="830" ht="35.25" customHeight="1"/>
    <row r="831" ht="35.25" customHeight="1"/>
    <row r="832" ht="35.25" customHeight="1"/>
    <row r="833" ht="35.25" customHeight="1"/>
    <row r="834" ht="35.25" customHeight="1"/>
    <row r="835" ht="35.25" customHeight="1"/>
    <row r="836" ht="35.25" customHeight="1"/>
    <row r="837" ht="35.25" customHeight="1"/>
    <row r="838" ht="35.25" customHeight="1"/>
    <row r="839" ht="35.25" customHeight="1"/>
    <row r="840" ht="35.25" customHeight="1"/>
    <row r="841" ht="35.25" customHeight="1"/>
    <row r="842" ht="35.25" customHeight="1"/>
    <row r="843" ht="35.25" customHeight="1"/>
    <row r="844" ht="35.25" customHeight="1"/>
    <row r="845" ht="35.25" customHeight="1"/>
    <row r="846" ht="35.25" customHeight="1"/>
    <row r="847" ht="35.25" customHeight="1"/>
    <row r="848" ht="35.25" customHeight="1"/>
    <row r="849" ht="35.25" customHeight="1"/>
    <row r="850" ht="35.25" customHeight="1"/>
    <row r="851" ht="35.25" customHeight="1"/>
    <row r="852" ht="35.25" customHeight="1"/>
    <row r="853" ht="35.25" customHeight="1"/>
    <row r="854" ht="35.25" customHeight="1"/>
    <row r="855" ht="35.25" customHeight="1"/>
    <row r="856" ht="35.25" customHeight="1"/>
    <row r="857" ht="35.25" customHeight="1"/>
    <row r="858" ht="35.25" customHeight="1"/>
    <row r="859" ht="35.25" customHeight="1"/>
    <row r="860" ht="35.25" customHeight="1"/>
    <row r="861" ht="35.25" customHeight="1"/>
    <row r="862" ht="35.25" customHeight="1"/>
    <row r="863" ht="35.25" customHeight="1"/>
    <row r="864" ht="35.25" customHeight="1"/>
    <row r="865" ht="35.25" customHeight="1"/>
    <row r="866" ht="35.25" customHeight="1"/>
    <row r="867" ht="35.25" customHeight="1"/>
    <row r="868" ht="35.25" customHeight="1"/>
    <row r="869" ht="35.25" customHeight="1"/>
    <row r="870" ht="35.25" customHeight="1"/>
    <row r="871" ht="35.25" customHeight="1"/>
    <row r="872" ht="35.25" customHeight="1"/>
    <row r="873" ht="35.25" customHeight="1"/>
    <row r="874" ht="35.25" customHeight="1"/>
    <row r="875" ht="35.25" customHeight="1"/>
    <row r="876" ht="35.25" customHeight="1"/>
    <row r="877" ht="35.25" customHeight="1"/>
    <row r="878" ht="35.25" customHeight="1"/>
    <row r="879" ht="35.25" customHeight="1"/>
    <row r="880" ht="35.25" customHeight="1"/>
    <row r="881" ht="35.25" customHeight="1"/>
    <row r="882" ht="35.25" customHeight="1"/>
    <row r="883" ht="35.25" customHeight="1"/>
    <row r="884" ht="35.25" customHeight="1"/>
    <row r="885" ht="35.25" customHeight="1"/>
    <row r="886" ht="35.25" customHeight="1"/>
    <row r="887" ht="35.25" customHeight="1"/>
    <row r="888" ht="35.25" customHeight="1"/>
    <row r="889" ht="35.25" customHeight="1"/>
    <row r="890" ht="35.25" customHeight="1"/>
    <row r="891" ht="35.25" customHeight="1"/>
    <row r="892" ht="35.25" customHeight="1"/>
    <row r="893" ht="35.25" customHeight="1"/>
    <row r="894" ht="35.25" customHeight="1"/>
    <row r="895" ht="35.25" customHeight="1"/>
    <row r="896" ht="35.25" customHeight="1"/>
    <row r="897" ht="35.25" customHeight="1"/>
    <row r="898" ht="35.25" customHeight="1"/>
    <row r="899" ht="35.25" customHeight="1"/>
    <row r="900" ht="35.25" customHeight="1"/>
    <row r="901" ht="35.25" customHeight="1"/>
    <row r="902" ht="35.25" customHeight="1"/>
    <row r="903" ht="35.25" customHeight="1"/>
    <row r="904" ht="35.25" customHeight="1"/>
    <row r="905" ht="35.25" customHeight="1"/>
    <row r="906" ht="35.25" customHeight="1"/>
    <row r="907" ht="35.25" customHeight="1"/>
    <row r="908" ht="35.25" customHeight="1"/>
    <row r="909" ht="35.25" customHeight="1"/>
    <row r="910" ht="35.25" customHeight="1"/>
    <row r="911" ht="35.25" customHeight="1"/>
    <row r="912" ht="35.25" customHeight="1"/>
    <row r="913" ht="35.25" customHeight="1"/>
    <row r="914" ht="35.25" customHeight="1"/>
    <row r="915" ht="35.25" customHeight="1"/>
    <row r="916" ht="35.25" customHeight="1"/>
    <row r="917" ht="35.25" customHeight="1"/>
    <row r="918" ht="35.25" customHeight="1"/>
    <row r="919" ht="35.25" customHeight="1"/>
    <row r="920" ht="35.25" customHeight="1"/>
    <row r="921" ht="35.25" customHeight="1"/>
    <row r="922" ht="35.25" customHeight="1"/>
    <row r="923" ht="35.25" customHeight="1"/>
    <row r="924" ht="35.25" customHeight="1"/>
    <row r="925" ht="35.25" customHeight="1"/>
    <row r="926" ht="35.25" customHeight="1"/>
    <row r="927" ht="35.25" customHeight="1"/>
    <row r="928" ht="35.25" customHeight="1"/>
    <row r="929" ht="35.25" customHeight="1"/>
    <row r="930" ht="35.25" customHeight="1"/>
    <row r="931" ht="35.25" customHeight="1"/>
    <row r="932" ht="35.25" customHeight="1"/>
    <row r="933" ht="35.25" customHeight="1"/>
    <row r="934" ht="35.25" customHeight="1"/>
    <row r="935" ht="35.25" customHeight="1"/>
    <row r="936" ht="35.25" customHeight="1"/>
    <row r="937" ht="35.25" customHeight="1"/>
    <row r="938" ht="35.25" customHeight="1"/>
    <row r="939" ht="35.25" customHeight="1"/>
    <row r="940" ht="35.25" customHeight="1"/>
    <row r="941" ht="35.25" customHeight="1"/>
    <row r="942" ht="35.25" customHeight="1"/>
    <row r="943" ht="35.25" customHeight="1"/>
    <row r="944" ht="35.25" customHeight="1"/>
    <row r="945" ht="35.25" customHeight="1"/>
    <row r="946" ht="35.25" customHeight="1"/>
    <row r="947" ht="35.25" customHeight="1"/>
    <row r="948" ht="35.25" customHeight="1"/>
    <row r="949" ht="35.25" customHeight="1"/>
    <row r="950" ht="35.25" customHeight="1"/>
    <row r="951" ht="35.25" customHeight="1"/>
    <row r="952" ht="35.25" customHeight="1"/>
    <row r="953" ht="35.25" customHeight="1"/>
    <row r="954" ht="35.25" customHeight="1"/>
    <row r="955" ht="35.25" customHeight="1"/>
    <row r="956" ht="35.25" customHeight="1"/>
    <row r="957" ht="35.25" customHeight="1"/>
    <row r="958" ht="35.25" customHeight="1"/>
    <row r="959" ht="35.25" customHeight="1"/>
    <row r="960" ht="35.25" customHeight="1"/>
    <row r="961" ht="35.25" customHeight="1"/>
    <row r="962" ht="35.25" customHeight="1"/>
    <row r="963" ht="35.25" customHeight="1"/>
    <row r="964" ht="35.25" customHeight="1"/>
    <row r="965" ht="35.25" customHeight="1"/>
    <row r="966" ht="35.25" customHeight="1"/>
    <row r="967" ht="35.25" customHeight="1"/>
    <row r="968" ht="35.25" customHeight="1"/>
    <row r="969" ht="35.25" customHeight="1"/>
    <row r="970" ht="35.25" customHeight="1"/>
    <row r="971" ht="35.25" customHeight="1"/>
    <row r="972" ht="35.25" customHeight="1"/>
    <row r="973" ht="35.25" customHeight="1"/>
    <row r="974" ht="35.25" customHeight="1"/>
    <row r="975" ht="35.25" customHeight="1"/>
    <row r="976" ht="35.25" customHeight="1"/>
    <row r="977" ht="35.25" customHeight="1"/>
    <row r="978" ht="35.25" customHeight="1"/>
    <row r="979" ht="35.25" customHeight="1"/>
    <row r="980" ht="35.25" customHeight="1"/>
    <row r="981" ht="35.25" customHeight="1"/>
    <row r="982" ht="35.25" customHeight="1"/>
    <row r="983" ht="35.25" customHeight="1"/>
    <row r="984" ht="35.25" customHeight="1"/>
    <row r="985" ht="35.25" customHeight="1"/>
    <row r="986" ht="35.25" customHeight="1"/>
    <row r="987" ht="35.25" customHeight="1"/>
    <row r="988" ht="35.25" customHeight="1"/>
    <row r="989" ht="35.25" customHeight="1"/>
    <row r="990" ht="35.25" customHeight="1"/>
    <row r="991" ht="35.25" customHeight="1"/>
    <row r="992" ht="35.25" customHeight="1"/>
    <row r="993" ht="35.25" customHeight="1"/>
    <row r="994" ht="35.25" customHeight="1"/>
    <row r="995" ht="35.25" customHeight="1"/>
    <row r="996" ht="35.25" customHeight="1"/>
    <row r="997" ht="35.25" customHeight="1"/>
    <row r="998" ht="35.25" customHeight="1"/>
    <row r="999" ht="35.25" customHeight="1"/>
    <row r="1000" ht="35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2" width="8.71"/>
    <col customWidth="1" min="3" max="3" width="75.0"/>
  </cols>
  <sheetData>
    <row r="1" ht="36.0" customHeight="1">
      <c r="A1" s="16" t="s">
        <v>5627</v>
      </c>
      <c r="B1" s="16" t="str">
        <f>IMAGE("https://lmztiles.s3.eu-west-1.amazonaws.com/Modern_Interiors_v41.3.4/1_Interiors/16x16/Theme_Sorter_Singles/24_Ice_Cream_Shop_Singles/Ice_Cream_Shop_Singles_1.png")</f>
        <v/>
      </c>
    </row>
    <row r="2" ht="36.0" customHeight="1">
      <c r="A2" s="16" t="s">
        <v>5628</v>
      </c>
      <c r="B2" s="16" t="str">
        <f>IMAGE("https://lmztiles.s3.eu-west-1.amazonaws.com/Modern_Interiors_v41.3.4/1_Interiors/16x16/Theme_Sorter_Singles/24_Ice_Cream_Shop_Singles/Ice_Cream_Shop_Singles_2.png")</f>
        <v/>
      </c>
    </row>
    <row r="3" ht="36.0" customHeight="1">
      <c r="A3" s="16" t="s">
        <v>5629</v>
      </c>
      <c r="B3" s="16" t="str">
        <f>IMAGE("https://lmztiles.s3.eu-west-1.amazonaws.com/Modern_Interiors_v41.3.4/1_Interiors/16x16/Theme_Sorter_Singles/24_Ice_Cream_Shop_Singles/Ice_Cream_Shop_Singles_3.png")</f>
        <v/>
      </c>
    </row>
    <row r="4" ht="36.0" customHeight="1">
      <c r="A4" s="16" t="s">
        <v>5630</v>
      </c>
      <c r="B4" s="16" t="str">
        <f>IMAGE("https://lmztiles.s3.eu-west-1.amazonaws.com/Modern_Interiors_v41.3.4/1_Interiors/16x16/Theme_Sorter_Singles/24_Ice_Cream_Shop_Singles/Ice_Cream_Shop_Singles_4.png")</f>
        <v/>
      </c>
    </row>
    <row r="5" ht="36.0" customHeight="1">
      <c r="A5" s="16" t="s">
        <v>5631</v>
      </c>
      <c r="B5" s="16" t="str">
        <f>IMAGE("https://lmztiles.s3.eu-west-1.amazonaws.com/Modern_Interiors_v41.3.4/1_Interiors/16x16/Theme_Sorter_Singles/24_Ice_Cream_Shop_Singles/Ice_Cream_Shop_Singles_5.png")</f>
        <v/>
      </c>
    </row>
    <row r="6" ht="36.0" customHeight="1">
      <c r="A6" s="16" t="s">
        <v>5632</v>
      </c>
      <c r="B6" s="16" t="str">
        <f>IMAGE("https://lmztiles.s3.eu-west-1.amazonaws.com/Modern_Interiors_v41.3.4/1_Interiors/16x16/Theme_Sorter_Singles/24_Ice_Cream_Shop_Singles/Ice_Cream_Shop_Singles_6.png")</f>
        <v/>
      </c>
    </row>
    <row r="7" ht="36.0" customHeight="1">
      <c r="A7" s="16" t="s">
        <v>5633</v>
      </c>
      <c r="B7" s="16" t="str">
        <f>IMAGE("https://lmztiles.s3.eu-west-1.amazonaws.com/Modern_Interiors_v41.3.4/1_Interiors/16x16/Theme_Sorter_Singles/24_Ice_Cream_Shop_Singles/Ice_Cream_Shop_Singles_7.png")</f>
        <v/>
      </c>
    </row>
    <row r="8" ht="36.0" customHeight="1">
      <c r="A8" s="16" t="s">
        <v>5634</v>
      </c>
      <c r="B8" s="16" t="str">
        <f>IMAGE("https://lmztiles.s3.eu-west-1.amazonaws.com/Modern_Interiors_v41.3.4/1_Interiors/16x16/Theme_Sorter_Singles/24_Ice_Cream_Shop_Singles/Ice_Cream_Shop_Singles_8.png")</f>
        <v/>
      </c>
    </row>
    <row r="9" ht="36.0" customHeight="1">
      <c r="A9" s="16" t="s">
        <v>5635</v>
      </c>
      <c r="B9" s="16" t="str">
        <f>IMAGE("https://lmztiles.s3.eu-west-1.amazonaws.com/Modern_Interiors_v41.3.4/1_Interiors/16x16/Theme_Sorter_Singles/24_Ice_Cream_Shop_Singles/Ice_Cream_Shop_Singles_9.png")</f>
        <v/>
      </c>
    </row>
    <row r="10" ht="36.0" customHeight="1">
      <c r="A10" s="16" t="s">
        <v>5636</v>
      </c>
      <c r="B10" s="16" t="str">
        <f>IMAGE("https://lmztiles.s3.eu-west-1.amazonaws.com/Modern_Interiors_v41.3.4/1_Interiors/16x16/Theme_Sorter_Singles/24_Ice_Cream_Shop_Singles/Ice_Cream_Shop_Singles_10.png")</f>
        <v/>
      </c>
    </row>
    <row r="11" ht="36.0" customHeight="1">
      <c r="A11" s="16" t="s">
        <v>5637</v>
      </c>
      <c r="B11" s="16" t="str">
        <f>IMAGE("https://lmztiles.s3.eu-west-1.amazonaws.com/Modern_Interiors_v41.3.4/1_Interiors/16x16/Theme_Sorter_Singles/24_Ice_Cream_Shop_Singles/Ice_Cream_Shop_Singles_11.png")</f>
        <v/>
      </c>
    </row>
    <row r="12" ht="36.0" customHeight="1">
      <c r="A12" s="16" t="s">
        <v>5638</v>
      </c>
      <c r="B12" s="16" t="str">
        <f>IMAGE("https://lmztiles.s3.eu-west-1.amazonaws.com/Modern_Interiors_v41.3.4/1_Interiors/16x16/Theme_Sorter_Singles/24_Ice_Cream_Shop_Singles/Ice_Cream_Shop_Singles_12.png")</f>
        <v/>
      </c>
    </row>
    <row r="13" ht="36.0" customHeight="1">
      <c r="A13" s="16" t="s">
        <v>5639</v>
      </c>
      <c r="B13" s="16" t="str">
        <f>IMAGE("https://lmztiles.s3.eu-west-1.amazonaws.com/Modern_Interiors_v41.3.4/1_Interiors/16x16/Theme_Sorter_Singles/24_Ice_Cream_Shop_Singles/Ice_Cream_Shop_Singles_13.png")</f>
        <v/>
      </c>
    </row>
    <row r="14" ht="36.0" customHeight="1">
      <c r="A14" s="16" t="s">
        <v>5640</v>
      </c>
      <c r="B14" s="16" t="str">
        <f>IMAGE("https://lmztiles.s3.eu-west-1.amazonaws.com/Modern_Interiors_v41.3.4/1_Interiors/16x16/Theme_Sorter_Singles/24_Ice_Cream_Shop_Singles/Ice_Cream_Shop_Singles_14.png")</f>
        <v/>
      </c>
    </row>
    <row r="15" ht="36.0" customHeight="1">
      <c r="A15" s="16" t="s">
        <v>5641</v>
      </c>
      <c r="B15" s="16" t="str">
        <f>IMAGE("https://lmztiles.s3.eu-west-1.amazonaws.com/Modern_Interiors_v41.3.4/1_Interiors/16x16/Theme_Sorter_Singles/24_Ice_Cream_Shop_Singles/Ice_Cream_Shop_Singles_15.png")</f>
        <v/>
      </c>
    </row>
    <row r="16" ht="36.0" customHeight="1">
      <c r="A16" s="16" t="s">
        <v>5642</v>
      </c>
      <c r="B16" s="16" t="str">
        <f>IMAGE("https://lmztiles.s3.eu-west-1.amazonaws.com/Modern_Interiors_v41.3.4/1_Interiors/16x16/Theme_Sorter_Singles/24_Ice_Cream_Shop_Singles/Ice_Cream_Shop_Singles_16.png")</f>
        <v/>
      </c>
    </row>
    <row r="17" ht="36.0" customHeight="1">
      <c r="A17" s="16" t="s">
        <v>5643</v>
      </c>
      <c r="B17" s="16" t="str">
        <f>IMAGE("https://lmztiles.s3.eu-west-1.amazonaws.com/Modern_Interiors_v41.3.4/1_Interiors/16x16/Theme_Sorter_Singles/24_Ice_Cream_Shop_Singles/Ice_Cream_Shop_Singles_17.png")</f>
        <v/>
      </c>
    </row>
    <row r="18" ht="36.0" customHeight="1">
      <c r="A18" s="16" t="s">
        <v>5644</v>
      </c>
      <c r="B18" s="16" t="str">
        <f>IMAGE("https://lmztiles.s3.eu-west-1.amazonaws.com/Modern_Interiors_v41.3.4/1_Interiors/16x16/Theme_Sorter_Singles/24_Ice_Cream_Shop_Singles/Ice_Cream_Shop_Singles_18.png")</f>
        <v/>
      </c>
    </row>
    <row r="19" ht="36.0" customHeight="1">
      <c r="A19" s="16" t="s">
        <v>5645</v>
      </c>
      <c r="B19" s="16" t="str">
        <f>IMAGE("https://lmztiles.s3.eu-west-1.amazonaws.com/Modern_Interiors_v41.3.4/1_Interiors/16x16/Theme_Sorter_Singles/24_Ice_Cream_Shop_Singles/Ice_Cream_Shop_Singles_19.png")</f>
        <v/>
      </c>
    </row>
    <row r="20" ht="36.0" customHeight="1">
      <c r="A20" s="16" t="s">
        <v>5646</v>
      </c>
      <c r="B20" s="16" t="str">
        <f>IMAGE("https://lmztiles.s3.eu-west-1.amazonaws.com/Modern_Interiors_v41.3.4/1_Interiors/16x16/Theme_Sorter_Singles/24_Ice_Cream_Shop_Singles/Ice_Cream_Shop_Singles_20.png")</f>
        <v/>
      </c>
    </row>
    <row r="21" ht="36.0" customHeight="1">
      <c r="A21" s="16" t="s">
        <v>5647</v>
      </c>
      <c r="B21" s="16" t="str">
        <f>IMAGE("https://lmztiles.s3.eu-west-1.amazonaws.com/Modern_Interiors_v41.3.4/1_Interiors/16x16/Theme_Sorter_Singles/24_Ice_Cream_Shop_Singles/Ice_Cream_Shop_Singles_21.png")</f>
        <v/>
      </c>
    </row>
    <row r="22" ht="36.0" customHeight="1">
      <c r="A22" s="16" t="s">
        <v>5648</v>
      </c>
      <c r="B22" s="16" t="str">
        <f>IMAGE("https://lmztiles.s3.eu-west-1.amazonaws.com/Modern_Interiors_v41.3.4/1_Interiors/16x16/Theme_Sorter_Singles/24_Ice_Cream_Shop_Singles/Ice_Cream_Shop_Singles_22.png")</f>
        <v/>
      </c>
    </row>
    <row r="23" ht="36.0" customHeight="1">
      <c r="A23" s="16" t="s">
        <v>5649</v>
      </c>
      <c r="B23" s="16" t="str">
        <f>IMAGE("https://lmztiles.s3.eu-west-1.amazonaws.com/Modern_Interiors_v41.3.4/1_Interiors/16x16/Theme_Sorter_Singles/24_Ice_Cream_Shop_Singles/Ice_Cream_Shop_Singles_23.png")</f>
        <v/>
      </c>
    </row>
    <row r="24" ht="36.0" customHeight="1">
      <c r="A24" s="16" t="s">
        <v>5650</v>
      </c>
      <c r="B24" s="16" t="str">
        <f>IMAGE("https://lmztiles.s3.eu-west-1.amazonaws.com/Modern_Interiors_v41.3.4/1_Interiors/16x16/Theme_Sorter_Singles/24_Ice_Cream_Shop_Singles/Ice_Cream_Shop_Singles_24.png")</f>
        <v/>
      </c>
    </row>
    <row r="25" ht="36.0" customHeight="1">
      <c r="A25" s="16" t="s">
        <v>5651</v>
      </c>
      <c r="B25" s="16" t="str">
        <f>IMAGE("https://lmztiles.s3.eu-west-1.amazonaws.com/Modern_Interiors_v41.3.4/1_Interiors/16x16/Theme_Sorter_Singles/24_Ice_Cream_Shop_Singles/Ice_Cream_Shop_Singles_25.png")</f>
        <v/>
      </c>
    </row>
    <row r="26" ht="36.0" customHeight="1">
      <c r="A26" s="16" t="s">
        <v>5652</v>
      </c>
      <c r="B26" s="16" t="str">
        <f>IMAGE("https://lmztiles.s3.eu-west-1.amazonaws.com/Modern_Interiors_v41.3.4/1_Interiors/16x16/Theme_Sorter_Singles/24_Ice_Cream_Shop_Singles/Ice_Cream_Shop_Singles_26.png")</f>
        <v/>
      </c>
    </row>
    <row r="27" ht="36.0" customHeight="1">
      <c r="A27" s="16" t="s">
        <v>5653</v>
      </c>
      <c r="B27" s="16" t="str">
        <f>IMAGE("https://lmztiles.s3.eu-west-1.amazonaws.com/Modern_Interiors_v41.3.4/1_Interiors/16x16/Theme_Sorter_Singles/24_Ice_Cream_Shop_Singles/Ice_Cream_Shop_Singles_27.png")</f>
        <v/>
      </c>
    </row>
    <row r="28" ht="36.0" customHeight="1">
      <c r="A28" s="16" t="s">
        <v>5654</v>
      </c>
      <c r="B28" s="16" t="str">
        <f>IMAGE("https://lmztiles.s3.eu-west-1.amazonaws.com/Modern_Interiors_v41.3.4/1_Interiors/16x16/Theme_Sorter_Singles/24_Ice_Cream_Shop_Singles/Ice_Cream_Shop_Singles_28.png")</f>
        <v/>
      </c>
    </row>
    <row r="29" ht="36.0" customHeight="1">
      <c r="A29" s="16" t="s">
        <v>5655</v>
      </c>
      <c r="B29" s="16" t="str">
        <f>IMAGE("https://lmztiles.s3.eu-west-1.amazonaws.com/Modern_Interiors_v41.3.4/1_Interiors/16x16/Theme_Sorter_Singles/24_Ice_Cream_Shop_Singles/Ice_Cream_Shop_Singles_29.png")</f>
        <v/>
      </c>
    </row>
    <row r="30" ht="36.0" customHeight="1">
      <c r="A30" s="16" t="s">
        <v>5656</v>
      </c>
      <c r="B30" s="16" t="str">
        <f>IMAGE("https://lmztiles.s3.eu-west-1.amazonaws.com/Modern_Interiors_v41.3.4/1_Interiors/16x16/Theme_Sorter_Singles/24_Ice_Cream_Shop_Singles/Ice_Cream_Shop_Singles_30.png")</f>
        <v/>
      </c>
    </row>
    <row r="31" ht="36.0" customHeight="1">
      <c r="A31" s="16" t="s">
        <v>5657</v>
      </c>
      <c r="B31" s="16" t="str">
        <f>IMAGE("https://lmztiles.s3.eu-west-1.amazonaws.com/Modern_Interiors_v41.3.4/1_Interiors/16x16/Theme_Sorter_Singles/24_Ice_Cream_Shop_Singles/Ice_Cream_Shop_Singles_31.png")</f>
        <v/>
      </c>
    </row>
    <row r="32" ht="36.0" customHeight="1">
      <c r="A32" s="16" t="s">
        <v>5658</v>
      </c>
      <c r="B32" s="16" t="str">
        <f>IMAGE("https://lmztiles.s3.eu-west-1.amazonaws.com/Modern_Interiors_v41.3.4/1_Interiors/16x16/Theme_Sorter_Singles/24_Ice_Cream_Shop_Singles/Ice_Cream_Shop_Singles_32.png")</f>
        <v/>
      </c>
    </row>
    <row r="33" ht="36.0" customHeight="1">
      <c r="A33" s="16" t="s">
        <v>5659</v>
      </c>
      <c r="B33" s="16" t="str">
        <f>IMAGE("https://lmztiles.s3.eu-west-1.amazonaws.com/Modern_Interiors_v41.3.4/1_Interiors/16x16/Theme_Sorter_Singles/24_Ice_Cream_Shop_Singles/Ice_Cream_Shop_Singles_33.png")</f>
        <v/>
      </c>
    </row>
    <row r="34" ht="36.0" customHeight="1">
      <c r="A34" s="16" t="s">
        <v>5660</v>
      </c>
      <c r="B34" s="16" t="str">
        <f>IMAGE("https://lmztiles.s3.eu-west-1.amazonaws.com/Modern_Interiors_v41.3.4/1_Interiors/16x16/Theme_Sorter_Singles/24_Ice_Cream_Shop_Singles/Ice_Cream_Shop_Singles_34.png")</f>
        <v/>
      </c>
    </row>
    <row r="35" ht="36.0" customHeight="1">
      <c r="A35" s="16" t="s">
        <v>5661</v>
      </c>
      <c r="B35" s="16" t="str">
        <f>IMAGE("https://lmztiles.s3.eu-west-1.amazonaws.com/Modern_Interiors_v41.3.4/1_Interiors/16x16/Theme_Sorter_Singles/24_Ice_Cream_Shop_Singles/Ice_Cream_Shop_Singles_35.png")</f>
        <v/>
      </c>
    </row>
    <row r="36" ht="36.0" customHeight="1">
      <c r="A36" s="16" t="s">
        <v>5662</v>
      </c>
      <c r="B36" s="16" t="str">
        <f>IMAGE("https://lmztiles.s3.eu-west-1.amazonaws.com/Modern_Interiors_v41.3.4/1_Interiors/16x16/Theme_Sorter_Singles/24_Ice_Cream_Shop_Singles/Ice_Cream_Shop_Singles_36.png")</f>
        <v/>
      </c>
    </row>
    <row r="37" ht="36.0" customHeight="1">
      <c r="A37" s="16" t="s">
        <v>5663</v>
      </c>
      <c r="B37" s="16" t="str">
        <f>IMAGE("https://lmztiles.s3.eu-west-1.amazonaws.com/Modern_Interiors_v41.3.4/1_Interiors/16x16/Theme_Sorter_Singles/24_Ice_Cream_Shop_Singles/Ice_Cream_Shop_Singles_37.png")</f>
        <v/>
      </c>
    </row>
    <row r="38" ht="36.0" customHeight="1">
      <c r="A38" s="16" t="s">
        <v>5664</v>
      </c>
      <c r="B38" s="16" t="str">
        <f>IMAGE("https://lmztiles.s3.eu-west-1.amazonaws.com/Modern_Interiors_v41.3.4/1_Interiors/16x16/Theme_Sorter_Singles/24_Ice_Cream_Shop_Singles/Ice_Cream_Shop_Singles_38.png")</f>
        <v/>
      </c>
    </row>
    <row r="39" ht="36.0" customHeight="1">
      <c r="A39" s="16" t="s">
        <v>5665</v>
      </c>
      <c r="B39" s="16" t="str">
        <f>IMAGE("https://lmztiles.s3.eu-west-1.amazonaws.com/Modern_Interiors_v41.3.4/1_Interiors/16x16/Theme_Sorter_Singles/24_Ice_Cream_Shop_Singles/Ice_Cream_Shop_Singles_39.png")</f>
        <v/>
      </c>
    </row>
    <row r="40" ht="36.0" customHeight="1">
      <c r="A40" s="16" t="s">
        <v>5666</v>
      </c>
      <c r="B40" s="16" t="str">
        <f>IMAGE("https://lmztiles.s3.eu-west-1.amazonaws.com/Modern_Interiors_v41.3.4/1_Interiors/16x16/Theme_Sorter_Singles/24_Ice_Cream_Shop_Singles/Ice_Cream_Shop_Singles_40.png")</f>
        <v/>
      </c>
    </row>
    <row r="41" ht="36.0" customHeight="1">
      <c r="A41" s="16" t="s">
        <v>5667</v>
      </c>
      <c r="B41" s="16" t="str">
        <f>IMAGE("https://lmztiles.s3.eu-west-1.amazonaws.com/Modern_Interiors_v41.3.4/1_Interiors/16x16/Theme_Sorter_Singles/24_Ice_Cream_Shop_Singles/Ice_Cream_Shop_Singles_41.png")</f>
        <v/>
      </c>
    </row>
    <row r="42" ht="36.0" customHeight="1">
      <c r="A42" s="16" t="s">
        <v>5668</v>
      </c>
      <c r="B42" s="16" t="str">
        <f>IMAGE("https://lmztiles.s3.eu-west-1.amazonaws.com/Modern_Interiors_v41.3.4/1_Interiors/16x16/Theme_Sorter_Singles/24_Ice_Cream_Shop_Singles/Ice_Cream_Shop_Singles_42.png")</f>
        <v/>
      </c>
    </row>
    <row r="43" ht="36.0" customHeight="1">
      <c r="A43" s="16" t="s">
        <v>5669</v>
      </c>
      <c r="B43" s="16" t="str">
        <f>IMAGE("https://lmztiles.s3.eu-west-1.amazonaws.com/Modern_Interiors_v41.3.4/1_Interiors/16x16/Theme_Sorter_Singles/24_Ice_Cream_Shop_Singles/Ice_Cream_Shop_Singles_43.png")</f>
        <v/>
      </c>
    </row>
    <row r="44" ht="36.0" customHeight="1">
      <c r="A44" s="16" t="s">
        <v>5670</v>
      </c>
      <c r="B44" s="16" t="str">
        <f>IMAGE("https://lmztiles.s3.eu-west-1.amazonaws.com/Modern_Interiors_v41.3.4/1_Interiors/16x16/Theme_Sorter_Singles/24_Ice_Cream_Shop_Singles/Ice_Cream_Shop_Singles_44.png")</f>
        <v/>
      </c>
    </row>
    <row r="45" ht="36.0" customHeight="1">
      <c r="A45" s="16" t="s">
        <v>5671</v>
      </c>
      <c r="B45" s="16" t="str">
        <f>IMAGE("https://lmztiles.s3.eu-west-1.amazonaws.com/Modern_Interiors_v41.3.4/1_Interiors/16x16/Theme_Sorter_Singles/24_Ice_Cream_Shop_Singles/Ice_Cream_Shop_Singles_45.png")</f>
        <v/>
      </c>
    </row>
    <row r="46" ht="36.0" customHeight="1">
      <c r="A46" s="16" t="s">
        <v>5672</v>
      </c>
      <c r="B46" s="16" t="str">
        <f>IMAGE("https://lmztiles.s3.eu-west-1.amazonaws.com/Modern_Interiors_v41.3.4/1_Interiors/16x16/Theme_Sorter_Singles/24_Ice_Cream_Shop_Singles/Ice_Cream_Shop_Singles_46.png")</f>
        <v/>
      </c>
    </row>
    <row r="47" ht="36.0" customHeight="1">
      <c r="A47" s="16" t="s">
        <v>5673</v>
      </c>
      <c r="B47" s="16" t="str">
        <f>IMAGE("https://lmztiles.s3.eu-west-1.amazonaws.com/Modern_Interiors_v41.3.4/1_Interiors/16x16/Theme_Sorter_Singles/24_Ice_Cream_Shop_Singles/Ice_Cream_Shop_Singles_47.png")</f>
        <v/>
      </c>
    </row>
    <row r="48" ht="36.0" customHeight="1">
      <c r="A48" s="16" t="s">
        <v>5674</v>
      </c>
      <c r="B48" s="16" t="str">
        <f>IMAGE("https://lmztiles.s3.eu-west-1.amazonaws.com/Modern_Interiors_v41.3.4/1_Interiors/16x16/Theme_Sorter_Singles/24_Ice_Cream_Shop_Singles/Ice_Cream_Shop_Singles_48.png")</f>
        <v/>
      </c>
    </row>
    <row r="49" ht="36.0" customHeight="1">
      <c r="A49" s="16" t="s">
        <v>5675</v>
      </c>
      <c r="B49" s="16" t="str">
        <f>IMAGE("https://lmztiles.s3.eu-west-1.amazonaws.com/Modern_Interiors_v41.3.4/1_Interiors/16x16/Theme_Sorter_Singles/24_Ice_Cream_Shop_Singles/Ice_Cream_Shop_Singles_49.png")</f>
        <v/>
      </c>
    </row>
    <row r="50" ht="36.0" customHeight="1">
      <c r="A50" s="16" t="s">
        <v>5676</v>
      </c>
      <c r="B50" s="16" t="str">
        <f>IMAGE("https://lmztiles.s3.eu-west-1.amazonaws.com/Modern_Interiors_v41.3.4/1_Interiors/16x16/Theme_Sorter_Singles/24_Ice_Cream_Shop_Singles/Ice_Cream_Shop_Singles_50.png")</f>
        <v/>
      </c>
    </row>
    <row r="51" ht="36.0" customHeight="1">
      <c r="A51" s="16" t="s">
        <v>5677</v>
      </c>
      <c r="B51" s="16" t="str">
        <f>IMAGE("https://lmztiles.s3.eu-west-1.amazonaws.com/Modern_Interiors_v41.3.4/1_Interiors/16x16/Theme_Sorter_Singles/24_Ice_Cream_Shop_Singles/Ice_Cream_Shop_Singles_51.png")</f>
        <v/>
      </c>
    </row>
    <row r="52" ht="36.0" customHeight="1">
      <c r="A52" s="16" t="s">
        <v>5678</v>
      </c>
      <c r="B52" s="16" t="str">
        <f>IMAGE("https://lmztiles.s3.eu-west-1.amazonaws.com/Modern_Interiors_v41.3.4/1_Interiors/16x16/Theme_Sorter_Singles/24_Ice_Cream_Shop_Singles/Ice_Cream_Shop_Singles_52.png")</f>
        <v/>
      </c>
    </row>
    <row r="53" ht="36.0" customHeight="1">
      <c r="A53" s="16" t="s">
        <v>5679</v>
      </c>
      <c r="B53" s="16" t="str">
        <f>IMAGE("https://lmztiles.s3.eu-west-1.amazonaws.com/Modern_Interiors_v41.3.4/1_Interiors/16x16/Theme_Sorter_Singles/24_Ice_Cream_Shop_Singles/Ice_Cream_Shop_Singles_53.png")</f>
        <v/>
      </c>
    </row>
    <row r="54" ht="36.0" customHeight="1">
      <c r="A54" s="16" t="s">
        <v>5680</v>
      </c>
      <c r="B54" s="16" t="str">
        <f>IMAGE("https://lmztiles.s3.eu-west-1.amazonaws.com/Modern_Interiors_v41.3.4/1_Interiors/16x16/Theme_Sorter_Singles/24_Ice_Cream_Shop_Singles/Ice_Cream_Shop_Singles_54.png")</f>
        <v/>
      </c>
    </row>
    <row r="55" ht="36.0" customHeight="1">
      <c r="A55" s="16" t="s">
        <v>5681</v>
      </c>
      <c r="B55" s="16" t="str">
        <f>IMAGE("https://lmztiles.s3.eu-west-1.amazonaws.com/Modern_Interiors_v41.3.4/1_Interiors/16x16/Theme_Sorter_Singles/24_Ice_Cream_Shop_Singles/Ice_Cream_Shop_Singles_55.png")</f>
        <v/>
      </c>
    </row>
    <row r="56" ht="36.0" customHeight="1">
      <c r="A56" s="16" t="s">
        <v>5682</v>
      </c>
      <c r="B56" s="16" t="str">
        <f>IMAGE("https://lmztiles.s3.eu-west-1.amazonaws.com/Modern_Interiors_v41.3.4/1_Interiors/16x16/Theme_Sorter_Singles/24_Ice_Cream_Shop_Singles/Ice_Cream_Shop_Singles_56.png")</f>
        <v/>
      </c>
    </row>
    <row r="57" ht="36.0" customHeight="1">
      <c r="A57" s="16" t="s">
        <v>5683</v>
      </c>
      <c r="B57" s="16" t="str">
        <f>IMAGE("https://lmztiles.s3.eu-west-1.amazonaws.com/Modern_Interiors_v41.3.4/1_Interiors/16x16/Theme_Sorter_Singles/24_Ice_Cream_Shop_Singles/Ice_Cream_Shop_Singles_57.png")</f>
        <v/>
      </c>
    </row>
    <row r="58" ht="36.0" customHeight="1">
      <c r="A58" s="16" t="s">
        <v>5684</v>
      </c>
      <c r="B58" s="16" t="str">
        <f>IMAGE("https://lmztiles.s3.eu-west-1.amazonaws.com/Modern_Interiors_v41.3.4/1_Interiors/16x16/Theme_Sorter_Singles/24_Ice_Cream_Shop_Singles/Ice_Cream_Shop_Singles_58.png")</f>
        <v/>
      </c>
    </row>
    <row r="59" ht="36.0" customHeight="1">
      <c r="A59" s="16" t="s">
        <v>5685</v>
      </c>
      <c r="B59" s="16" t="str">
        <f>IMAGE("https://lmztiles.s3.eu-west-1.amazonaws.com/Modern_Interiors_v41.3.4/1_Interiors/16x16/Theme_Sorter_Singles/24_Ice_Cream_Shop_Singles/Ice_Cream_Shop_Singles_59.png")</f>
        <v/>
      </c>
    </row>
    <row r="60" ht="36.0" customHeight="1">
      <c r="A60" s="16" t="s">
        <v>5686</v>
      </c>
      <c r="B60" s="16" t="str">
        <f>IMAGE("https://lmztiles.s3.eu-west-1.amazonaws.com/Modern_Interiors_v41.3.4/1_Interiors/16x16/Theme_Sorter_Singles/24_Ice_Cream_Shop_Singles/Ice_Cream_Shop_Singles_60.png")</f>
        <v/>
      </c>
    </row>
    <row r="61" ht="36.0" customHeight="1">
      <c r="A61" s="16" t="s">
        <v>5687</v>
      </c>
      <c r="B61" s="16" t="str">
        <f>IMAGE("https://lmztiles.s3.eu-west-1.amazonaws.com/Modern_Interiors_v41.3.4/1_Interiors/16x16/Theme_Sorter_Singles/24_Ice_Cream_Shop_Singles/Ice_Cream_Shop_Singles_61.png")</f>
        <v/>
      </c>
    </row>
    <row r="62" ht="36.0" customHeight="1">
      <c r="A62" s="16" t="s">
        <v>5688</v>
      </c>
      <c r="B62" s="16" t="str">
        <f>IMAGE("https://lmztiles.s3.eu-west-1.amazonaws.com/Modern_Interiors_v41.3.4/1_Interiors/16x16/Theme_Sorter_Singles/24_Ice_Cream_Shop_Singles/Ice_Cream_Shop_Singles_62.png")</f>
        <v/>
      </c>
    </row>
    <row r="63" ht="36.0" customHeight="1">
      <c r="A63" s="16" t="s">
        <v>5689</v>
      </c>
      <c r="B63" s="16" t="str">
        <f>IMAGE("https://lmztiles.s3.eu-west-1.amazonaws.com/Modern_Interiors_v41.3.4/1_Interiors/16x16/Theme_Sorter_Singles/24_Ice_Cream_Shop_Singles/Ice_Cream_Shop_Singles_63.png")</f>
        <v/>
      </c>
    </row>
    <row r="64" ht="36.0" customHeight="1">
      <c r="A64" s="16" t="s">
        <v>5690</v>
      </c>
      <c r="B64" s="16" t="str">
        <f>IMAGE("https://lmztiles.s3.eu-west-1.amazonaws.com/Modern_Interiors_v41.3.4/1_Interiors/16x16/Theme_Sorter_Singles/24_Ice_Cream_Shop_Singles/Ice_Cream_Shop_Singles_64.png")</f>
        <v/>
      </c>
    </row>
    <row r="65" ht="36.0" customHeight="1">
      <c r="A65" s="16" t="s">
        <v>5691</v>
      </c>
      <c r="B65" s="16" t="str">
        <f>IMAGE("https://lmztiles.s3.eu-west-1.amazonaws.com/Modern_Interiors_v41.3.4/1_Interiors/16x16/Theme_Sorter_Singles/24_Ice_Cream_Shop_Singles/Ice_Cream_Shop_Singles_65.png")</f>
        <v/>
      </c>
    </row>
    <row r="66" ht="36.0" customHeight="1">
      <c r="A66" s="16" t="s">
        <v>5692</v>
      </c>
      <c r="B66" s="16" t="str">
        <f>IMAGE("https://lmztiles.s3.eu-west-1.amazonaws.com/Modern_Interiors_v41.3.4/1_Interiors/16x16/Theme_Sorter_Singles/24_Ice_Cream_Shop_Singles/Ice_Cream_Shop_Singles_66.png")</f>
        <v/>
      </c>
    </row>
    <row r="67" ht="36.0" customHeight="1">
      <c r="A67" s="16" t="s">
        <v>5693</v>
      </c>
      <c r="B67" s="16" t="str">
        <f>IMAGE("https://lmztiles.s3.eu-west-1.amazonaws.com/Modern_Interiors_v41.3.4/1_Interiors/16x16/Theme_Sorter_Singles/24_Ice_Cream_Shop_Singles/Ice_Cream_Shop_Singles_67.png")</f>
        <v/>
      </c>
    </row>
    <row r="68" ht="36.0" customHeight="1">
      <c r="A68" s="16" t="s">
        <v>5694</v>
      </c>
      <c r="B68" s="16" t="str">
        <f>IMAGE("https://lmztiles.s3.eu-west-1.amazonaws.com/Modern_Interiors_v41.3.4/1_Interiors/16x16/Theme_Sorter_Singles/24_Ice_Cream_Shop_Singles/Ice_Cream_Shop_Singles_68.png")</f>
        <v/>
      </c>
    </row>
    <row r="69" ht="36.0" customHeight="1">
      <c r="A69" s="16" t="s">
        <v>5695</v>
      </c>
      <c r="B69" s="16" t="str">
        <f>IMAGE("https://lmztiles.s3.eu-west-1.amazonaws.com/Modern_Interiors_v41.3.4/1_Interiors/16x16/Theme_Sorter_Singles/24_Ice_Cream_Shop_Singles/Ice_Cream_Shop_Singles_69.png")</f>
        <v/>
      </c>
    </row>
    <row r="70" ht="36.0" customHeight="1">
      <c r="A70" s="16" t="s">
        <v>5696</v>
      </c>
      <c r="B70" s="16" t="str">
        <f>IMAGE("https://lmztiles.s3.eu-west-1.amazonaws.com/Modern_Interiors_v41.3.4/1_Interiors/16x16/Theme_Sorter_Singles/24_Ice_Cream_Shop_Singles/Ice_Cream_Shop_Singles_70.png")</f>
        <v/>
      </c>
    </row>
    <row r="71" ht="36.0" customHeight="1">
      <c r="A71" s="16" t="s">
        <v>5697</v>
      </c>
      <c r="B71" s="16" t="str">
        <f>IMAGE("https://lmztiles.s3.eu-west-1.amazonaws.com/Modern_Interiors_v41.3.4/1_Interiors/16x16/Theme_Sorter_Singles/24_Ice_Cream_Shop_Singles/Ice_Cream_Shop_Singles_71.png")</f>
        <v/>
      </c>
    </row>
    <row r="72" ht="36.0" customHeight="1">
      <c r="A72" s="16" t="s">
        <v>5698</v>
      </c>
      <c r="B72" s="16" t="str">
        <f>IMAGE("https://lmztiles.s3.eu-west-1.amazonaws.com/Modern_Interiors_v41.3.4/1_Interiors/16x16/Theme_Sorter_Singles/24_Ice_Cream_Shop_Singles/Ice_Cream_Shop_Singles_72.png")</f>
        <v/>
      </c>
    </row>
    <row r="73" ht="36.0" customHeight="1">
      <c r="A73" s="16" t="s">
        <v>5699</v>
      </c>
      <c r="B73" s="16" t="str">
        <f>IMAGE("https://lmztiles.s3.eu-west-1.amazonaws.com/Modern_Interiors_v41.3.4/1_Interiors/16x16/Theme_Sorter_Singles/24_Ice_Cream_Shop_Singles/Ice_Cream_Shop_Singles_73.png")</f>
        <v/>
      </c>
    </row>
    <row r="74" ht="36.0" customHeight="1">
      <c r="A74" s="16" t="s">
        <v>5700</v>
      </c>
      <c r="B74" s="16" t="str">
        <f>IMAGE("https://lmztiles.s3.eu-west-1.amazonaws.com/Modern_Interiors_v41.3.4/1_Interiors/16x16/Theme_Sorter_Singles/24_Ice_Cream_Shop_Singles/Ice_Cream_Shop_Singles_74.png")</f>
        <v/>
      </c>
    </row>
    <row r="75" ht="36.0" customHeight="1">
      <c r="A75" s="16" t="s">
        <v>5701</v>
      </c>
      <c r="B75" s="16" t="str">
        <f>IMAGE("https://lmztiles.s3.eu-west-1.amazonaws.com/Modern_Interiors_v41.3.4/1_Interiors/16x16/Theme_Sorter_Singles/24_Ice_Cream_Shop_Singles/Ice_Cream_Shop_Singles_75.png")</f>
        <v/>
      </c>
    </row>
    <row r="76" ht="36.0" customHeight="1">
      <c r="A76" s="16" t="s">
        <v>5702</v>
      </c>
      <c r="B76" s="16" t="str">
        <f>IMAGE("https://lmztiles.s3.eu-west-1.amazonaws.com/Modern_Interiors_v41.3.4/1_Interiors/16x16/Theme_Sorter_Singles/24_Ice_Cream_Shop_Singles/Ice_Cream_Shop_Singles_76.png")</f>
        <v/>
      </c>
    </row>
    <row r="77" ht="36.0" customHeight="1">
      <c r="A77" s="16" t="s">
        <v>5703</v>
      </c>
      <c r="B77" s="16" t="str">
        <f>IMAGE("https://lmztiles.s3.eu-west-1.amazonaws.com/Modern_Interiors_v41.3.4/1_Interiors/16x16/Theme_Sorter_Singles/24_Ice_Cream_Shop_Singles/Ice_Cream_Shop_Singles_77.png")</f>
        <v/>
      </c>
    </row>
    <row r="78" ht="36.0" customHeight="1">
      <c r="A78" s="16" t="s">
        <v>5704</v>
      </c>
      <c r="B78" s="16" t="str">
        <f>IMAGE("https://lmztiles.s3.eu-west-1.amazonaws.com/Modern_Interiors_v41.3.4/1_Interiors/16x16/Theme_Sorter_Singles/24_Ice_Cream_Shop_Singles/Ice_Cream_Shop_Singles_78.png")</f>
        <v/>
      </c>
    </row>
    <row r="79" ht="36.0" customHeight="1">
      <c r="A79" s="16" t="s">
        <v>5705</v>
      </c>
      <c r="B79" s="16" t="str">
        <f>IMAGE("https://lmztiles.s3.eu-west-1.amazonaws.com/Modern_Interiors_v41.3.4/1_Interiors/16x16/Theme_Sorter_Singles/24_Ice_Cream_Shop_Singles/Ice_Cream_Shop_Singles_79.png")</f>
        <v/>
      </c>
    </row>
    <row r="80" ht="36.0" customHeight="1">
      <c r="A80" s="16" t="s">
        <v>5706</v>
      </c>
      <c r="B80" s="16" t="str">
        <f>IMAGE("https://lmztiles.s3.eu-west-1.amazonaws.com/Modern_Interiors_v41.3.4/1_Interiors/16x16/Theme_Sorter_Singles/24_Ice_Cream_Shop_Singles/Ice_Cream_Shop_Singles_80.png")</f>
        <v/>
      </c>
    </row>
    <row r="81" ht="36.0" customHeight="1">
      <c r="A81" s="16" t="s">
        <v>5707</v>
      </c>
      <c r="B81" s="16" t="str">
        <f>IMAGE("https://lmztiles.s3.eu-west-1.amazonaws.com/Modern_Interiors_v41.3.4/1_Interiors/16x16/Theme_Sorter_Singles/24_Ice_Cream_Shop_Singles/Ice_Cream_Shop_Singles_81.png")</f>
        <v/>
      </c>
    </row>
    <row r="82" ht="36.0" customHeight="1">
      <c r="A82" s="16" t="s">
        <v>5708</v>
      </c>
      <c r="B82" s="16" t="str">
        <f>IMAGE("https://lmztiles.s3.eu-west-1.amazonaws.com/Modern_Interiors_v41.3.4/1_Interiors/16x16/Theme_Sorter_Singles/24_Ice_Cream_Shop_Singles/Ice_Cream_Shop_Singles_82.png")</f>
        <v/>
      </c>
    </row>
    <row r="83" ht="36.0" customHeight="1">
      <c r="A83" s="16" t="s">
        <v>5709</v>
      </c>
      <c r="B83" s="16" t="str">
        <f>IMAGE("https://lmztiles.s3.eu-west-1.amazonaws.com/Modern_Interiors_v41.3.4/1_Interiors/16x16/Theme_Sorter_Singles/24_Ice_Cream_Shop_Singles/Ice_Cream_Shop_Singles_83.png")</f>
        <v/>
      </c>
    </row>
    <row r="84" ht="36.0" customHeight="1">
      <c r="A84" s="16" t="s">
        <v>5710</v>
      </c>
      <c r="B84" s="16" t="str">
        <f>IMAGE("https://lmztiles.s3.eu-west-1.amazonaws.com/Modern_Interiors_v41.3.4/1_Interiors/16x16/Theme_Sorter_Singles/24_Ice_Cream_Shop_Singles/Ice_Cream_Shop_Singles_84.png")</f>
        <v/>
      </c>
    </row>
    <row r="85" ht="36.0" customHeight="1">
      <c r="A85" s="16" t="s">
        <v>5711</v>
      </c>
      <c r="B85" s="16" t="str">
        <f>IMAGE("https://lmztiles.s3.eu-west-1.amazonaws.com/Modern_Interiors_v41.3.4/1_Interiors/16x16/Theme_Sorter_Singles/24_Ice_Cream_Shop_Singles/Ice_Cream_Shop_Singles_85.png")</f>
        <v/>
      </c>
    </row>
    <row r="86" ht="36.0" customHeight="1">
      <c r="A86" s="16" t="s">
        <v>5712</v>
      </c>
      <c r="B86" s="16" t="str">
        <f>IMAGE("https://lmztiles.s3.eu-west-1.amazonaws.com/Modern_Interiors_v41.3.4/1_Interiors/16x16/Theme_Sorter_Singles/24_Ice_Cream_Shop_Singles/Ice_Cream_Shop_Singles_86.png")</f>
        <v/>
      </c>
    </row>
    <row r="87" ht="36.0" customHeight="1">
      <c r="A87" s="16" t="s">
        <v>5713</v>
      </c>
      <c r="B87" s="16" t="str">
        <f>IMAGE("https://lmztiles.s3.eu-west-1.amazonaws.com/Modern_Interiors_v41.3.4/1_Interiors/16x16/Theme_Sorter_Singles/24_Ice_Cream_Shop_Singles/Ice_Cream_Shop_Singles_87.png")</f>
        <v/>
      </c>
    </row>
    <row r="88" ht="36.0" customHeight="1">
      <c r="A88" s="16" t="s">
        <v>5714</v>
      </c>
      <c r="B88" s="16" t="str">
        <f>IMAGE("https://lmztiles.s3.eu-west-1.amazonaws.com/Modern_Interiors_v41.3.4/1_Interiors/16x16/Theme_Sorter_Singles/24_Ice_Cream_Shop_Singles/Ice_Cream_Shop_Singles_88.png")</f>
        <v/>
      </c>
    </row>
    <row r="89" ht="36.0" customHeight="1">
      <c r="A89" s="16" t="s">
        <v>5715</v>
      </c>
      <c r="B89" s="16" t="str">
        <f>IMAGE("https://lmztiles.s3.eu-west-1.amazonaws.com/Modern_Interiors_v41.3.4/1_Interiors/16x16/Theme_Sorter_Singles/24_Ice_Cream_Shop_Singles/Ice_Cream_Shop_Singles_89.png")</f>
        <v/>
      </c>
    </row>
    <row r="90" ht="36.0" customHeight="1">
      <c r="A90" s="16" t="s">
        <v>5716</v>
      </c>
      <c r="B90" s="16" t="str">
        <f>IMAGE("https://lmztiles.s3.eu-west-1.amazonaws.com/Modern_Interiors_v41.3.4/1_Interiors/16x16/Theme_Sorter_Singles/24_Ice_Cream_Shop_Singles/Ice_Cream_Shop_Singles_90.png")</f>
        <v/>
      </c>
    </row>
    <row r="91" ht="36.0" customHeight="1">
      <c r="A91" s="16" t="s">
        <v>5717</v>
      </c>
      <c r="B91" s="16" t="str">
        <f>IMAGE("https://lmztiles.s3.eu-west-1.amazonaws.com/Modern_Interiors_v41.3.4/1_Interiors/16x16/Theme_Sorter_Singles/24_Ice_Cream_Shop_Singles/Ice_Cream_Shop_Singles_91.png")</f>
        <v/>
      </c>
    </row>
    <row r="92" ht="36.0" customHeight="1">
      <c r="A92" s="16" t="s">
        <v>5718</v>
      </c>
      <c r="B92" s="16" t="str">
        <f>IMAGE("https://lmztiles.s3.eu-west-1.amazonaws.com/Modern_Interiors_v41.3.4/1_Interiors/16x16/Theme_Sorter_Singles/24_Ice_Cream_Shop_Singles/Ice_Cream_Shop_Singles_92.png")</f>
        <v/>
      </c>
    </row>
    <row r="93" ht="36.0" customHeight="1">
      <c r="A93" s="16" t="s">
        <v>5719</v>
      </c>
      <c r="B93" s="16" t="str">
        <f>IMAGE("https://lmztiles.s3.eu-west-1.amazonaws.com/Modern_Interiors_v41.3.4/1_Interiors/16x16/Theme_Sorter_Singles/24_Ice_Cream_Shop_Singles/Ice_Cream_Shop_Singles_93.png")</f>
        <v/>
      </c>
    </row>
    <row r="94" ht="36.0" customHeight="1">
      <c r="A94" s="16" t="s">
        <v>5720</v>
      </c>
      <c r="B94" s="16" t="str">
        <f>IMAGE("https://lmztiles.s3.eu-west-1.amazonaws.com/Modern_Interiors_v41.3.4/1_Interiors/16x16/Theme_Sorter_Singles/24_Ice_Cream_Shop_Singles/Ice_Cream_Shop_Singles_94.png")</f>
        <v/>
      </c>
    </row>
    <row r="95" ht="36.0" customHeight="1">
      <c r="A95" s="16" t="s">
        <v>5721</v>
      </c>
      <c r="B95" s="16" t="str">
        <f>IMAGE("https://lmztiles.s3.eu-west-1.amazonaws.com/Modern_Interiors_v41.3.4/1_Interiors/16x16/Theme_Sorter_Singles/24_Ice_Cream_Shop_Singles/Ice_Cream_Shop_Singles_95.png")</f>
        <v/>
      </c>
    </row>
    <row r="96" ht="36.0" customHeight="1">
      <c r="A96" s="16" t="s">
        <v>5722</v>
      </c>
      <c r="B96" s="16" t="str">
        <f>IMAGE("https://lmztiles.s3.eu-west-1.amazonaws.com/Modern_Interiors_v41.3.4/1_Interiors/16x16/Theme_Sorter_Singles/24_Ice_Cream_Shop_Singles/Ice_Cream_Shop_Singles_96.png")</f>
        <v/>
      </c>
    </row>
    <row r="97" ht="36.0" customHeight="1">
      <c r="A97" s="16" t="s">
        <v>5723</v>
      </c>
      <c r="B97" s="16" t="str">
        <f>IMAGE("https://lmztiles.s3.eu-west-1.amazonaws.com/Modern_Interiors_v41.3.4/1_Interiors/16x16/Theme_Sorter_Singles/24_Ice_Cream_Shop_Singles/Ice_Cream_Shop_Singles_97.png")</f>
        <v/>
      </c>
    </row>
    <row r="98" ht="36.0" customHeight="1">
      <c r="A98" s="16" t="s">
        <v>5724</v>
      </c>
      <c r="B98" s="16" t="str">
        <f>IMAGE("https://lmztiles.s3.eu-west-1.amazonaws.com/Modern_Interiors_v41.3.4/1_Interiors/16x16/Theme_Sorter_Singles/24_Ice_Cream_Shop_Singles/Ice_Cream_Shop_Singles_98.png")</f>
        <v/>
      </c>
    </row>
    <row r="99" ht="36.0" customHeight="1">
      <c r="A99" s="16" t="s">
        <v>5725</v>
      </c>
      <c r="B99" s="16" t="str">
        <f>IMAGE("https://lmztiles.s3.eu-west-1.amazonaws.com/Modern_Interiors_v41.3.4/1_Interiors/16x16/Theme_Sorter_Singles/24_Ice_Cream_Shop_Singles/Ice_Cream_Shop_Singles_99.png")</f>
        <v/>
      </c>
    </row>
    <row r="100" ht="36.0" customHeight="1">
      <c r="A100" s="16" t="s">
        <v>5726</v>
      </c>
      <c r="B100" s="16" t="str">
        <f>IMAGE("https://lmztiles.s3.eu-west-1.amazonaws.com/Modern_Interiors_v41.3.4/1_Interiors/16x16/Theme_Sorter_Singles/24_Ice_Cream_Shop_Singles/Ice_Cream_Shop_Singles_100.png")</f>
        <v/>
      </c>
    </row>
    <row r="101" ht="36.0" customHeight="1">
      <c r="A101" s="16" t="s">
        <v>5727</v>
      </c>
      <c r="B101" s="16" t="str">
        <f>IMAGE("https://lmztiles.s3.eu-west-1.amazonaws.com/Modern_Interiors_v41.3.4/1_Interiors/16x16/Theme_Sorter_Singles/24_Ice_Cream_Shop_Singles/Ice_Cream_Shop_Singles_101.png")</f>
        <v/>
      </c>
    </row>
    <row r="102" ht="36.0" customHeight="1">
      <c r="A102" s="16" t="s">
        <v>5728</v>
      </c>
      <c r="B102" s="16" t="str">
        <f>IMAGE("https://lmztiles.s3.eu-west-1.amazonaws.com/Modern_Interiors_v41.3.4/1_Interiors/16x16/Theme_Sorter_Singles/24_Ice_Cream_Shop_Singles/Ice_Cream_Shop_Singles_102.png")</f>
        <v/>
      </c>
    </row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7.0"/>
    <col customWidth="1" min="3" max="3" width="22.0"/>
  </cols>
  <sheetData>
    <row r="1" ht="36.0" customHeight="1">
      <c r="A1" s="16" t="s">
        <v>5729</v>
      </c>
      <c r="B1" s="16" t="str">
        <f>IMAGE("https://lmztiles.s3.eu-west-1.amazonaws.com/Modern_Interiors_v41.3.4/1_Interiors/16x16/Theme_Sorter_Singles/25_Shooting_Range_Singles/Shooting_Range_Singles_01.png")</f>
        <v/>
      </c>
    </row>
    <row r="2" ht="36.0" customHeight="1">
      <c r="A2" s="16" t="s">
        <v>5730</v>
      </c>
      <c r="B2" s="16" t="str">
        <f>IMAGE("https://lmztiles.s3.eu-west-1.amazonaws.com/Modern_Interiors_v41.3.4/1_Interiors/16x16/Theme_Sorter_Singles/25_Shooting_Range_Singles/Shooting_Range_Singles_02.png")</f>
        <v/>
      </c>
    </row>
    <row r="3" ht="36.0" customHeight="1">
      <c r="A3" s="16" t="s">
        <v>5731</v>
      </c>
      <c r="B3" s="16" t="str">
        <f>IMAGE("https://lmztiles.s3.eu-west-1.amazonaws.com/Modern_Interiors_v41.3.4/1_Interiors/16x16/Theme_Sorter_Singles/25_Shooting_Range_Singles/Shooting_Range_Singles_03.png")</f>
        <v/>
      </c>
    </row>
    <row r="4" ht="36.0" customHeight="1">
      <c r="A4" s="16" t="s">
        <v>5732</v>
      </c>
      <c r="B4" s="16" t="str">
        <f>IMAGE("https://lmztiles.s3.eu-west-1.amazonaws.com/Modern_Interiors_v41.3.4/1_Interiors/16x16/Theme_Sorter_Singles/25_Shooting_Range_Singles/Shooting_Range_Singles_04.png")</f>
        <v/>
      </c>
    </row>
    <row r="5" ht="36.0" customHeight="1">
      <c r="A5" s="16" t="s">
        <v>5733</v>
      </c>
      <c r="B5" s="16" t="str">
        <f>IMAGE("https://lmztiles.s3.eu-west-1.amazonaws.com/Modern_Interiors_v41.3.4/1_Interiors/16x16/Theme_Sorter_Singles/25_Shooting_Range_Singles/Shooting_Range_Singles_05.png")</f>
        <v/>
      </c>
    </row>
    <row r="6" ht="36.0" customHeight="1">
      <c r="A6" s="16" t="s">
        <v>5734</v>
      </c>
      <c r="B6" s="16" t="str">
        <f>IMAGE("https://lmztiles.s3.eu-west-1.amazonaws.com/Modern_Interiors_v41.3.4/1_Interiors/16x16/Theme_Sorter_Singles/25_Shooting_Range_Singles/Shooting_Range_Singles_06.png")</f>
        <v/>
      </c>
    </row>
    <row r="7" ht="36.0" customHeight="1">
      <c r="A7" s="16" t="s">
        <v>5735</v>
      </c>
      <c r="B7" s="16" t="str">
        <f>IMAGE("https://lmztiles.s3.eu-west-1.amazonaws.com/Modern_Interiors_v41.3.4/1_Interiors/16x16/Theme_Sorter_Singles/25_Shooting_Range_Singles/Shooting_Range_Singles_07.png")</f>
        <v/>
      </c>
    </row>
    <row r="8" ht="36.0" customHeight="1">
      <c r="A8" s="16" t="s">
        <v>5736</v>
      </c>
      <c r="B8" s="16" t="str">
        <f>IMAGE("https://lmztiles.s3.eu-west-1.amazonaws.com/Modern_Interiors_v41.3.4/1_Interiors/16x16/Theme_Sorter_Singles/25_Shooting_Range_Singles/Shooting_Range_Singles_08.png")</f>
        <v/>
      </c>
    </row>
    <row r="9" ht="36.0" customHeight="1">
      <c r="A9" s="16" t="s">
        <v>5737</v>
      </c>
      <c r="B9" s="16" t="str">
        <f>IMAGE("https://lmztiles.s3.eu-west-1.amazonaws.com/Modern_Interiors_v41.3.4/1_Interiors/16x16/Theme_Sorter_Singles/25_Shooting_Range_Singles/Shooting_Range_Singles_09.png")</f>
        <v/>
      </c>
    </row>
    <row r="10" ht="36.0" customHeight="1">
      <c r="A10" s="16" t="s">
        <v>5738</v>
      </c>
      <c r="B10" s="16" t="str">
        <f>IMAGE("https://lmztiles.s3.eu-west-1.amazonaws.com/Modern_Interiors_v41.3.4/1_Interiors/16x16/Theme_Sorter_Singles/25_Shooting_Range_Singles/Shooting_Range_Singles_10.png")</f>
        <v/>
      </c>
    </row>
    <row r="11" ht="36.0" customHeight="1">
      <c r="A11" s="16" t="s">
        <v>5739</v>
      </c>
      <c r="B11" s="16" t="str">
        <f>IMAGE("https://lmztiles.s3.eu-west-1.amazonaws.com/Modern_Interiors_v41.3.4/1_Interiors/16x16/Theme_Sorter_Singles/25_Shooting_Range_Singles/Shooting_Range_Singles_11.png")</f>
        <v/>
      </c>
    </row>
    <row r="12" ht="36.0" customHeight="1">
      <c r="A12" s="16" t="s">
        <v>5740</v>
      </c>
      <c r="B12" s="16" t="str">
        <f>IMAGE("https://lmztiles.s3.eu-west-1.amazonaws.com/Modern_Interiors_v41.3.4/1_Interiors/16x16/Theme_Sorter_Singles/25_Shooting_Range_Singles/Shooting_Range_Singles_12.png")</f>
        <v/>
      </c>
    </row>
    <row r="13" ht="36.0" customHeight="1">
      <c r="A13" s="16" t="s">
        <v>5741</v>
      </c>
      <c r="B13" s="16" t="str">
        <f>IMAGE("https://lmztiles.s3.eu-west-1.amazonaws.com/Modern_Interiors_v41.3.4/1_Interiors/16x16/Theme_Sorter_Singles/25_Shooting_Range_Singles/Shooting_Range_Singles_13.png")</f>
        <v/>
      </c>
    </row>
    <row r="14" ht="36.0" customHeight="1">
      <c r="A14" s="16" t="s">
        <v>5742</v>
      </c>
      <c r="B14" s="16" t="str">
        <f>IMAGE("https://lmztiles.s3.eu-west-1.amazonaws.com/Modern_Interiors_v41.3.4/1_Interiors/16x16/Theme_Sorter_Singles/25_Shooting_Range_Singles/Shooting_Range_Singles_14.png")</f>
        <v/>
      </c>
    </row>
    <row r="15" ht="36.0" customHeight="1">
      <c r="A15" s="16" t="s">
        <v>5743</v>
      </c>
      <c r="B15" s="16" t="str">
        <f>IMAGE("https://lmztiles.s3.eu-west-1.amazonaws.com/Modern_Interiors_v41.3.4/1_Interiors/16x16/Theme_Sorter_Singles/25_Shooting_Range_Singles/Shooting_Range_Singles_15.png")</f>
        <v/>
      </c>
    </row>
    <row r="16" ht="36.0" customHeight="1">
      <c r="A16" s="16" t="s">
        <v>5744</v>
      </c>
      <c r="B16" s="16" t="str">
        <f>IMAGE("https://lmztiles.s3.eu-west-1.amazonaws.com/Modern_Interiors_v41.3.4/1_Interiors/16x16/Theme_Sorter_Singles/25_Shooting_Range_Singles/Shooting_Range_Singles_16.png")</f>
        <v/>
      </c>
    </row>
    <row r="17" ht="36.0" customHeight="1">
      <c r="A17" s="16" t="s">
        <v>5745</v>
      </c>
      <c r="B17" s="16" t="str">
        <f>IMAGE("https://lmztiles.s3.eu-west-1.amazonaws.com/Modern_Interiors_v41.3.4/1_Interiors/16x16/Theme_Sorter_Singles/25_Shooting_Range_Singles/Shooting_Range_Singles_17.png")</f>
        <v/>
      </c>
    </row>
    <row r="18" ht="36.0" customHeight="1">
      <c r="A18" s="16" t="s">
        <v>5746</v>
      </c>
      <c r="B18" s="16" t="str">
        <f>IMAGE("https://lmztiles.s3.eu-west-1.amazonaws.com/Modern_Interiors_v41.3.4/1_Interiors/16x16/Theme_Sorter_Singles/25_Shooting_Range_Singles/Shooting_Range_Singles_18.png")</f>
        <v/>
      </c>
    </row>
    <row r="19" ht="36.0" customHeight="1">
      <c r="A19" s="16" t="s">
        <v>5747</v>
      </c>
      <c r="B19" s="16" t="str">
        <f>IMAGE("https://lmztiles.s3.eu-west-1.amazonaws.com/Modern_Interiors_v41.3.4/1_Interiors/16x16/Theme_Sorter_Singles/25_Shooting_Range_Singles/Shooting_Range_Singles_19.png")</f>
        <v/>
      </c>
    </row>
    <row r="20" ht="36.0" customHeight="1">
      <c r="A20" s="16" t="s">
        <v>5748</v>
      </c>
      <c r="B20" s="16" t="str">
        <f>IMAGE("https://lmztiles.s3.eu-west-1.amazonaws.com/Modern_Interiors_v41.3.4/1_Interiors/16x16/Theme_Sorter_Singles/25_Shooting_Range_Singles/Shooting_Range_Singles_20.png")</f>
        <v/>
      </c>
    </row>
    <row r="21" ht="36.0" customHeight="1">
      <c r="A21" s="16" t="s">
        <v>5749</v>
      </c>
      <c r="B21" s="16" t="str">
        <f>IMAGE("https://lmztiles.s3.eu-west-1.amazonaws.com/Modern_Interiors_v41.3.4/1_Interiors/16x16/Theme_Sorter_Singles/25_Shooting_Range_Singles/Shooting_Range_Singles_21.png")</f>
        <v/>
      </c>
    </row>
    <row r="22" ht="36.0" customHeight="1">
      <c r="A22" s="16" t="s">
        <v>5750</v>
      </c>
      <c r="B22" s="16" t="str">
        <f>IMAGE("https://lmztiles.s3.eu-west-1.amazonaws.com/Modern_Interiors_v41.3.4/1_Interiors/16x16/Theme_Sorter_Singles/25_Shooting_Range_Singles/Shooting_Range_Singles_22.png")</f>
        <v/>
      </c>
    </row>
    <row r="23" ht="36.0" customHeight="1">
      <c r="A23" s="16" t="s">
        <v>5751</v>
      </c>
      <c r="B23" s="16" t="str">
        <f>IMAGE("https://lmztiles.s3.eu-west-1.amazonaws.com/Modern_Interiors_v41.3.4/1_Interiors/16x16/Theme_Sorter_Singles/25_Shooting_Range_Singles/Shooting_Range_Singles_23.png")</f>
        <v/>
      </c>
    </row>
    <row r="24" ht="36.0" customHeight="1">
      <c r="A24" s="16" t="s">
        <v>5752</v>
      </c>
      <c r="B24" s="16" t="str">
        <f>IMAGE("https://lmztiles.s3.eu-west-1.amazonaws.com/Modern_Interiors_v41.3.4/1_Interiors/16x16/Theme_Sorter_Singles/25_Shooting_Range_Singles/Shooting_Range_Singles_24.png")</f>
        <v/>
      </c>
    </row>
    <row r="25" ht="36.0" customHeight="1">
      <c r="A25" s="16" t="s">
        <v>5753</v>
      </c>
      <c r="B25" s="16" t="str">
        <f>IMAGE("https://lmztiles.s3.eu-west-1.amazonaws.com/Modern_Interiors_v41.3.4/1_Interiors/16x16/Theme_Sorter_Singles/25_Shooting_Range_Singles/Shooting_Range_Singles_25.png")</f>
        <v/>
      </c>
    </row>
    <row r="26" ht="36.0" customHeight="1">
      <c r="A26" s="16" t="s">
        <v>5754</v>
      </c>
      <c r="B26" s="16" t="str">
        <f>IMAGE("https://lmztiles.s3.eu-west-1.amazonaws.com/Modern_Interiors_v41.3.4/1_Interiors/16x16/Theme_Sorter_Singles/25_Shooting_Range_Singles/Shooting_Range_Singles_26.png")</f>
        <v/>
      </c>
    </row>
    <row r="27" ht="36.0" customHeight="1">
      <c r="A27" s="16" t="s">
        <v>5755</v>
      </c>
      <c r="B27" s="16" t="str">
        <f>IMAGE("https://lmztiles.s3.eu-west-1.amazonaws.com/Modern_Interiors_v41.3.4/1_Interiors/16x16/Theme_Sorter_Singles/25_Shooting_Range_Singles/Shooting_Range_Singles_27.png")</f>
        <v/>
      </c>
    </row>
    <row r="28" ht="36.0" customHeight="1">
      <c r="A28" s="16" t="s">
        <v>5756</v>
      </c>
      <c r="B28" s="16" t="str">
        <f>IMAGE("https://lmztiles.s3.eu-west-1.amazonaws.com/Modern_Interiors_v41.3.4/1_Interiors/16x16/Theme_Sorter_Singles/25_Shooting_Range_Singles/Shooting_Range_Singles_28.png")</f>
        <v/>
      </c>
    </row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8.71"/>
    <col customWidth="1" min="3" max="3" width="69.71"/>
  </cols>
  <sheetData>
    <row r="1" ht="38.25" customHeight="1">
      <c r="A1" s="16" t="s">
        <v>5757</v>
      </c>
      <c r="B1" s="16" t="str">
        <f>IMAGE("https://lmztiles.s3.eu-west-1.amazonaws.com/Modern_Interiors_v41.3.4/1_Interiors/16x16/Theme_Sorter_Singles/26_Condominium_Singles/Condominium_Singles_1.png")</f>
        <v/>
      </c>
    </row>
    <row r="2" ht="38.25" customHeight="1">
      <c r="A2" s="16" t="s">
        <v>5758</v>
      </c>
      <c r="B2" s="16" t="str">
        <f>IMAGE("https://lmztiles.s3.eu-west-1.amazonaws.com/Modern_Interiors_v41.3.4/1_Interiors/16x16/Theme_Sorter_Singles/26_Condominium_Singles/Condominium_Singles_2.png")</f>
        <v/>
      </c>
    </row>
    <row r="3" ht="38.25" customHeight="1">
      <c r="A3" s="16" t="s">
        <v>5759</v>
      </c>
      <c r="B3" s="16" t="str">
        <f>IMAGE("https://lmztiles.s3.eu-west-1.amazonaws.com/Modern_Interiors_v41.3.4/1_Interiors/16x16/Theme_Sorter_Singles/26_Condominium_Singles/Condominium_Singles_3.png")</f>
        <v/>
      </c>
    </row>
    <row r="4" ht="38.25" customHeight="1">
      <c r="A4" s="16" t="s">
        <v>5760</v>
      </c>
      <c r="B4" s="16" t="str">
        <f>IMAGE("https://lmztiles.s3.eu-west-1.amazonaws.com/Modern_Interiors_v41.3.4/1_Interiors/16x16/Theme_Sorter_Singles/26_Condominium_Singles/Condominium_Singles_4.png")</f>
        <v/>
      </c>
    </row>
    <row r="5" ht="38.25" customHeight="1">
      <c r="A5" s="16" t="s">
        <v>5761</v>
      </c>
      <c r="B5" s="16" t="str">
        <f>IMAGE("https://lmztiles.s3.eu-west-1.amazonaws.com/Modern_Interiors_v41.3.4/1_Interiors/16x16/Theme_Sorter_Singles/26_Condominium_Singles/Condominium_Singles_5.png")</f>
        <v/>
      </c>
    </row>
    <row r="6" ht="38.25" customHeight="1">
      <c r="A6" s="16" t="s">
        <v>5762</v>
      </c>
      <c r="B6" s="16" t="str">
        <f>IMAGE("https://lmztiles.s3.eu-west-1.amazonaws.com/Modern_Interiors_v41.3.4/1_Interiors/16x16/Theme_Sorter_Singles/26_Condominium_Singles/Condominium_Singles_6.png")</f>
        <v/>
      </c>
    </row>
    <row r="7" ht="38.25" customHeight="1">
      <c r="A7" s="16" t="s">
        <v>5763</v>
      </c>
      <c r="B7" s="16" t="str">
        <f>IMAGE("https://lmztiles.s3.eu-west-1.amazonaws.com/Modern_Interiors_v41.3.4/1_Interiors/16x16/Theme_Sorter_Singles/26_Condominium_Singles/Condominium_Singles_7.png")</f>
        <v/>
      </c>
    </row>
    <row r="8" ht="38.25" customHeight="1">
      <c r="A8" s="16" t="s">
        <v>5764</v>
      </c>
      <c r="B8" s="16" t="str">
        <f>IMAGE("https://lmztiles.s3.eu-west-1.amazonaws.com/Modern_Interiors_v41.3.4/1_Interiors/16x16/Theme_Sorter_Singles/26_Condominium_Singles/Condominium_Singles_8.png")</f>
        <v/>
      </c>
    </row>
    <row r="9" ht="38.25" customHeight="1">
      <c r="A9" s="16" t="s">
        <v>5765</v>
      </c>
      <c r="B9" s="16" t="str">
        <f>IMAGE("https://lmztiles.s3.eu-west-1.amazonaws.com/Modern_Interiors_v41.3.4/1_Interiors/16x16/Theme_Sorter_Singles/26_Condominium_Singles/Condominium_Singles_9.png")</f>
        <v/>
      </c>
    </row>
    <row r="10" ht="38.25" customHeight="1">
      <c r="A10" s="16" t="s">
        <v>5766</v>
      </c>
      <c r="B10" s="16" t="str">
        <f>IMAGE("https://lmztiles.s3.eu-west-1.amazonaws.com/Modern_Interiors_v41.3.4/1_Interiors/16x16/Theme_Sorter_Singles/26_Condominium_Singles/Condominium_Singles_10.png")</f>
        <v/>
      </c>
    </row>
    <row r="11" ht="38.25" customHeight="1">
      <c r="A11" s="16" t="s">
        <v>5767</v>
      </c>
      <c r="B11" s="16" t="str">
        <f>IMAGE("https://lmztiles.s3.eu-west-1.amazonaws.com/Modern_Interiors_v41.3.4/1_Interiors/16x16/Theme_Sorter_Singles/26_Condominium_Singles/Condominium_Singles_11.png")</f>
        <v/>
      </c>
    </row>
    <row r="12" ht="38.25" customHeight="1">
      <c r="A12" s="16" t="s">
        <v>5768</v>
      </c>
      <c r="B12" s="16" t="str">
        <f>IMAGE("https://lmztiles.s3.eu-west-1.amazonaws.com/Modern_Interiors_v41.3.4/1_Interiors/16x16/Theme_Sorter_Singles/26_Condominium_Singles/Condominium_Singles_12.png")</f>
        <v/>
      </c>
    </row>
    <row r="13" ht="38.25" customHeight="1">
      <c r="A13" s="16" t="s">
        <v>5769</v>
      </c>
      <c r="B13" s="16" t="str">
        <f>IMAGE("https://lmztiles.s3.eu-west-1.amazonaws.com/Modern_Interiors_v41.3.4/1_Interiors/16x16/Theme_Sorter_Singles/26_Condominium_Singles/Condominium_Singles_13.png")</f>
        <v/>
      </c>
    </row>
    <row r="14" ht="38.25" customHeight="1">
      <c r="A14" s="16" t="s">
        <v>5770</v>
      </c>
      <c r="B14" s="16" t="str">
        <f>IMAGE("https://lmztiles.s3.eu-west-1.amazonaws.com/Modern_Interiors_v41.3.4/1_Interiors/16x16/Theme_Sorter_Singles/26_Condominium_Singles/Condominium_Singles_14.png")</f>
        <v/>
      </c>
    </row>
    <row r="15" ht="38.25" customHeight="1">
      <c r="A15" s="16" t="s">
        <v>5771</v>
      </c>
      <c r="B15" s="16" t="str">
        <f>IMAGE("https://lmztiles.s3.eu-west-1.amazonaws.com/Modern_Interiors_v41.3.4/1_Interiors/16x16/Theme_Sorter_Singles/26_Condominium_Singles/Condominium_Singles_15.png")</f>
        <v/>
      </c>
    </row>
    <row r="16" ht="38.25" customHeight="1">
      <c r="A16" s="16" t="s">
        <v>5772</v>
      </c>
      <c r="B16" s="16" t="str">
        <f>IMAGE("https://lmztiles.s3.eu-west-1.amazonaws.com/Modern_Interiors_v41.3.4/1_Interiors/16x16/Theme_Sorter_Singles/26_Condominium_Singles/Condominium_Singles_16.png")</f>
        <v/>
      </c>
    </row>
    <row r="17" ht="38.25" customHeight="1">
      <c r="A17" s="16" t="s">
        <v>5773</v>
      </c>
      <c r="B17" s="16" t="str">
        <f>IMAGE("https://lmztiles.s3.eu-west-1.amazonaws.com/Modern_Interiors_v41.3.4/1_Interiors/16x16/Theme_Sorter_Singles/26_Condominium_Singles/Condominium_Singles_17.png")</f>
        <v/>
      </c>
    </row>
    <row r="18" ht="38.25" customHeight="1">
      <c r="A18" s="16" t="s">
        <v>5774</v>
      </c>
      <c r="B18" s="16" t="str">
        <f>IMAGE("https://lmztiles.s3.eu-west-1.amazonaws.com/Modern_Interiors_v41.3.4/1_Interiors/16x16/Theme_Sorter_Singles/26_Condominium_Singles/Condominium_Singles_18.png")</f>
        <v/>
      </c>
    </row>
    <row r="19" ht="38.25" customHeight="1">
      <c r="A19" s="16" t="s">
        <v>5775</v>
      </c>
      <c r="B19" s="16" t="str">
        <f>IMAGE("https://lmztiles.s3.eu-west-1.amazonaws.com/Modern_Interiors_v41.3.4/1_Interiors/16x16/Theme_Sorter_Singles/26_Condominium_Singles/Condominium_Singles_19.png")</f>
        <v/>
      </c>
    </row>
    <row r="20" ht="38.25" customHeight="1">
      <c r="A20" s="16" t="s">
        <v>5776</v>
      </c>
      <c r="B20" s="16" t="str">
        <f>IMAGE("https://lmztiles.s3.eu-west-1.amazonaws.com/Modern_Interiors_v41.3.4/1_Interiors/16x16/Theme_Sorter_Singles/26_Condominium_Singles/Condominium_Singles_20.png")</f>
        <v/>
      </c>
    </row>
    <row r="21" ht="38.25" customHeight="1">
      <c r="A21" s="16" t="s">
        <v>5777</v>
      </c>
      <c r="B21" s="16" t="str">
        <f>IMAGE("https://lmztiles.s3.eu-west-1.amazonaws.com/Modern_Interiors_v41.3.4/1_Interiors/16x16/Theme_Sorter_Singles/26_Condominium_Singles/Condominium_Singles_21.png")</f>
        <v/>
      </c>
    </row>
    <row r="22" ht="38.25" customHeight="1">
      <c r="A22" s="16" t="s">
        <v>5778</v>
      </c>
      <c r="B22" s="16" t="str">
        <f>IMAGE("https://lmztiles.s3.eu-west-1.amazonaws.com/Modern_Interiors_v41.3.4/1_Interiors/16x16/Theme_Sorter_Singles/26_Condominium_Singles/Condominium_Singles_22.png")</f>
        <v/>
      </c>
    </row>
    <row r="23" ht="38.25" customHeight="1">
      <c r="A23" s="16" t="s">
        <v>5779</v>
      </c>
      <c r="B23" s="16" t="str">
        <f>IMAGE("https://lmztiles.s3.eu-west-1.amazonaws.com/Modern_Interiors_v41.3.4/1_Interiors/16x16/Theme_Sorter_Singles/26_Condominium_Singles/Condominium_Singles_23.png")</f>
        <v/>
      </c>
    </row>
    <row r="24" ht="38.25" customHeight="1">
      <c r="A24" s="16" t="s">
        <v>5780</v>
      </c>
      <c r="B24" s="16" t="str">
        <f>IMAGE("https://lmztiles.s3.eu-west-1.amazonaws.com/Modern_Interiors_v41.3.4/1_Interiors/16x16/Theme_Sorter_Singles/26_Condominium_Singles/Condominium_Singles_24.png")</f>
        <v/>
      </c>
    </row>
    <row r="25" ht="38.25" customHeight="1">
      <c r="A25" s="16" t="s">
        <v>5781</v>
      </c>
      <c r="B25" s="16" t="str">
        <f>IMAGE("https://lmztiles.s3.eu-west-1.amazonaws.com/Modern_Interiors_v41.3.4/1_Interiors/16x16/Theme_Sorter_Singles/26_Condominium_Singles/Condominium_Singles_25.png")</f>
        <v/>
      </c>
    </row>
    <row r="26" ht="38.25" customHeight="1">
      <c r="A26" s="16" t="s">
        <v>5782</v>
      </c>
      <c r="B26" s="16" t="str">
        <f>IMAGE("https://lmztiles.s3.eu-west-1.amazonaws.com/Modern_Interiors_v41.3.4/1_Interiors/16x16/Theme_Sorter_Singles/26_Condominium_Singles/Condominium_Singles_26.png")</f>
        <v/>
      </c>
    </row>
    <row r="27" ht="38.25" customHeight="1">
      <c r="A27" s="16" t="s">
        <v>5783</v>
      </c>
      <c r="B27" s="16" t="str">
        <f>IMAGE("https://lmztiles.s3.eu-west-1.amazonaws.com/Modern_Interiors_v41.3.4/1_Interiors/16x16/Theme_Sorter_Singles/26_Condominium_Singles/Condominium_Singles_27.png")</f>
        <v/>
      </c>
    </row>
    <row r="28" ht="38.25" customHeight="1">
      <c r="A28" s="16" t="s">
        <v>5784</v>
      </c>
      <c r="B28" s="16" t="str">
        <f>IMAGE("https://lmztiles.s3.eu-west-1.amazonaws.com/Modern_Interiors_v41.3.4/1_Interiors/16x16/Theme_Sorter_Singles/26_Condominium_Singles/Condominium_Singles_28.png")</f>
        <v/>
      </c>
    </row>
    <row r="29" ht="38.25" customHeight="1">
      <c r="A29" s="16" t="s">
        <v>5785</v>
      </c>
      <c r="B29" s="16" t="str">
        <f>IMAGE("https://lmztiles.s3.eu-west-1.amazonaws.com/Modern_Interiors_v41.3.4/1_Interiors/16x16/Theme_Sorter_Singles/26_Condominium_Singles/Condominium_Singles_29.png")</f>
        <v/>
      </c>
    </row>
    <row r="30" ht="38.25" customHeight="1">
      <c r="A30" s="16" t="s">
        <v>5786</v>
      </c>
      <c r="B30" s="16" t="str">
        <f>IMAGE("https://lmztiles.s3.eu-west-1.amazonaws.com/Modern_Interiors_v41.3.4/1_Interiors/16x16/Theme_Sorter_Singles/26_Condominium_Singles/Condominium_Singles_30.png")</f>
        <v/>
      </c>
    </row>
    <row r="31" ht="38.25" customHeight="1">
      <c r="A31" s="16" t="s">
        <v>5787</v>
      </c>
      <c r="B31" s="16" t="str">
        <f>IMAGE("https://lmztiles.s3.eu-west-1.amazonaws.com/Modern_Interiors_v41.3.4/1_Interiors/16x16/Theme_Sorter_Singles/26_Condominium_Singles/Condominium_Singles_31.png")</f>
        <v/>
      </c>
    </row>
    <row r="32" ht="38.25" customHeight="1">
      <c r="A32" s="16" t="s">
        <v>5788</v>
      </c>
      <c r="B32" s="16" t="str">
        <f>IMAGE("https://lmztiles.s3.eu-west-1.amazonaws.com/Modern_Interiors_v41.3.4/1_Interiors/16x16/Theme_Sorter_Singles/26_Condominium_Singles/Condominium_Singles_32.png")</f>
        <v/>
      </c>
    </row>
    <row r="33" ht="38.25" customHeight="1">
      <c r="A33" s="16" t="s">
        <v>5789</v>
      </c>
      <c r="B33" s="16" t="str">
        <f>IMAGE("https://lmztiles.s3.eu-west-1.amazonaws.com/Modern_Interiors_v41.3.4/1_Interiors/16x16/Theme_Sorter_Singles/26_Condominium_Singles/Condominium_Singles_33.png")</f>
        <v/>
      </c>
    </row>
    <row r="34" ht="38.25" customHeight="1">
      <c r="A34" s="16" t="s">
        <v>5790</v>
      </c>
      <c r="B34" s="16" t="str">
        <f>IMAGE("https://lmztiles.s3.eu-west-1.amazonaws.com/Modern_Interiors_v41.3.4/1_Interiors/16x16/Theme_Sorter_Singles/26_Condominium_Singles/Condominium_Singles_34.png")</f>
        <v/>
      </c>
    </row>
    <row r="35" ht="38.25" customHeight="1">
      <c r="A35" s="16" t="s">
        <v>5791</v>
      </c>
      <c r="B35" s="16" t="str">
        <f>IMAGE("https://lmztiles.s3.eu-west-1.amazonaws.com/Modern_Interiors_v41.3.4/1_Interiors/16x16/Theme_Sorter_Singles/26_Condominium_Singles/Condominium_Singles_35.png")</f>
        <v/>
      </c>
    </row>
    <row r="36" ht="38.25" customHeight="1">
      <c r="A36" s="16" t="s">
        <v>5792</v>
      </c>
      <c r="B36" s="16" t="str">
        <f>IMAGE("https://lmztiles.s3.eu-west-1.amazonaws.com/Modern_Interiors_v41.3.4/1_Interiors/16x16/Theme_Sorter_Singles/26_Condominium_Singles/Condominium_Singles_36.png")</f>
        <v/>
      </c>
    </row>
    <row r="37" ht="38.25" customHeight="1">
      <c r="A37" s="16" t="s">
        <v>5793</v>
      </c>
      <c r="B37" s="16" t="str">
        <f>IMAGE("https://lmztiles.s3.eu-west-1.amazonaws.com/Modern_Interiors_v41.3.4/1_Interiors/16x16/Theme_Sorter_Singles/26_Condominium_Singles/Condominium_Singles_37.png")</f>
        <v/>
      </c>
    </row>
    <row r="38" ht="38.25" customHeight="1">
      <c r="A38" s="16" t="s">
        <v>5794</v>
      </c>
      <c r="B38" s="16" t="str">
        <f>IMAGE("https://lmztiles.s3.eu-west-1.amazonaws.com/Modern_Interiors_v41.3.4/1_Interiors/16x16/Theme_Sorter_Singles/26_Condominium_Singles/Condominium_Singles_38.png")</f>
        <v/>
      </c>
    </row>
    <row r="39" ht="38.25" customHeight="1">
      <c r="A39" s="16" t="s">
        <v>5795</v>
      </c>
      <c r="B39" s="16" t="str">
        <f>IMAGE("https://lmztiles.s3.eu-west-1.amazonaws.com/Modern_Interiors_v41.3.4/1_Interiors/16x16/Theme_Sorter_Singles/26_Condominium_Singles/Condominium_Singles_39.png")</f>
        <v/>
      </c>
    </row>
    <row r="40" ht="38.25" customHeight="1">
      <c r="A40" s="16" t="s">
        <v>5796</v>
      </c>
      <c r="B40" s="16" t="str">
        <f>IMAGE("https://lmztiles.s3.eu-west-1.amazonaws.com/Modern_Interiors_v41.3.4/1_Interiors/16x16/Theme_Sorter_Singles/26_Condominium_Singles/Condominium_Singles_40.png")</f>
        <v/>
      </c>
    </row>
    <row r="41" ht="38.25" customHeight="1">
      <c r="A41" s="16" t="s">
        <v>5797</v>
      </c>
      <c r="B41" s="16" t="str">
        <f>IMAGE("https://lmztiles.s3.eu-west-1.amazonaws.com/Modern_Interiors_v41.3.4/1_Interiors/16x16/Theme_Sorter_Singles/26_Condominium_Singles/Condominium_Singles_41.png")</f>
        <v/>
      </c>
    </row>
    <row r="42" ht="38.25" customHeight="1">
      <c r="A42" s="16" t="s">
        <v>5798</v>
      </c>
      <c r="B42" s="16" t="str">
        <f>IMAGE("https://lmztiles.s3.eu-west-1.amazonaws.com/Modern_Interiors_v41.3.4/1_Interiors/16x16/Theme_Sorter_Singles/26_Condominium_Singles/Condominium_Singles_42.png")</f>
        <v/>
      </c>
    </row>
    <row r="43" ht="38.25" customHeight="1">
      <c r="A43" s="16" t="s">
        <v>5799</v>
      </c>
      <c r="B43" s="16" t="str">
        <f>IMAGE("https://lmztiles.s3.eu-west-1.amazonaws.com/Modern_Interiors_v41.3.4/1_Interiors/16x16/Theme_Sorter_Singles/26_Condominium_Singles/Condominium_Singles_43.png")</f>
        <v/>
      </c>
    </row>
    <row r="44" ht="38.25" customHeight="1">
      <c r="A44" s="16" t="s">
        <v>5800</v>
      </c>
      <c r="B44" s="16" t="str">
        <f>IMAGE("https://lmztiles.s3.eu-west-1.amazonaws.com/Modern_Interiors_v41.3.4/1_Interiors/16x16/Theme_Sorter_Singles/26_Condominium_Singles/Condominium_Singles_44.png")</f>
        <v/>
      </c>
    </row>
    <row r="45" ht="38.25" customHeight="1">
      <c r="A45" s="16" t="s">
        <v>5801</v>
      </c>
      <c r="B45" s="16" t="str">
        <f>IMAGE("https://lmztiles.s3.eu-west-1.amazonaws.com/Modern_Interiors_v41.3.4/1_Interiors/16x16/Theme_Sorter_Singles/26_Condominium_Singles/Condominium_Singles_45.png")</f>
        <v/>
      </c>
    </row>
    <row r="46" ht="38.25" customHeight="1">
      <c r="A46" s="16" t="s">
        <v>5802</v>
      </c>
      <c r="B46" s="16" t="str">
        <f>IMAGE("https://lmztiles.s3.eu-west-1.amazonaws.com/Modern_Interiors_v41.3.4/1_Interiors/16x16/Theme_Sorter_Singles/26_Condominium_Singles/Condominium_Singles_46.png")</f>
        <v/>
      </c>
    </row>
    <row r="47" ht="38.25" customHeight="1">
      <c r="A47" s="16" t="s">
        <v>5803</v>
      </c>
      <c r="B47" s="16" t="str">
        <f>IMAGE("https://lmztiles.s3.eu-west-1.amazonaws.com/Modern_Interiors_v41.3.4/1_Interiors/16x16/Theme_Sorter_Singles/26_Condominium_Singles/Condominium_Singles_47.png")</f>
        <v/>
      </c>
    </row>
    <row r="48" ht="38.25" customHeight="1">
      <c r="A48" s="16" t="s">
        <v>5804</v>
      </c>
      <c r="B48" s="16" t="str">
        <f>IMAGE("https://lmztiles.s3.eu-west-1.amazonaws.com/Modern_Interiors_v41.3.4/1_Interiors/16x16/Theme_Sorter_Singles/26_Condominium_Singles/Condominium_Singles_48.png")</f>
        <v/>
      </c>
    </row>
    <row r="49" ht="38.25" customHeight="1">
      <c r="A49" s="16" t="s">
        <v>5805</v>
      </c>
      <c r="B49" s="16" t="str">
        <f>IMAGE("https://lmztiles.s3.eu-west-1.amazonaws.com/Modern_Interiors_v41.3.4/1_Interiors/16x16/Theme_Sorter_Singles/26_Condominium_Singles/Condominium_Singles_49.png")</f>
        <v/>
      </c>
    </row>
    <row r="50" ht="38.25" customHeight="1">
      <c r="A50" s="16" t="s">
        <v>5806</v>
      </c>
      <c r="B50" s="16" t="str">
        <f>IMAGE("https://lmztiles.s3.eu-west-1.amazonaws.com/Modern_Interiors_v41.3.4/1_Interiors/16x16/Theme_Sorter_Singles/26_Condominium_Singles/Condominium_Singles_50.png")</f>
        <v/>
      </c>
    </row>
    <row r="51" ht="38.25" customHeight="1">
      <c r="A51" s="16" t="s">
        <v>5807</v>
      </c>
      <c r="B51" s="16" t="str">
        <f>IMAGE("https://lmztiles.s3.eu-west-1.amazonaws.com/Modern_Interiors_v41.3.4/1_Interiors/16x16/Theme_Sorter_Singles/26_Condominium_Singles/Condominium_Singles_51.png")</f>
        <v/>
      </c>
    </row>
    <row r="52" ht="38.25" customHeight="1">
      <c r="A52" s="16" t="s">
        <v>5808</v>
      </c>
      <c r="B52" s="16" t="str">
        <f>IMAGE("https://lmztiles.s3.eu-west-1.amazonaws.com/Modern_Interiors_v41.3.4/1_Interiors/16x16/Theme_Sorter_Singles/26_Condominium_Singles/Condominium_Singles_52.png")</f>
        <v/>
      </c>
    </row>
    <row r="53" ht="38.25" customHeight="1">
      <c r="A53" s="16" t="s">
        <v>5809</v>
      </c>
      <c r="B53" s="16" t="str">
        <f>IMAGE("https://lmztiles.s3.eu-west-1.amazonaws.com/Modern_Interiors_v41.3.4/1_Interiors/16x16/Theme_Sorter_Singles/26_Condominium_Singles/Condominium_Singles_53.png")</f>
        <v/>
      </c>
    </row>
    <row r="54" ht="38.25" customHeight="1">
      <c r="A54" s="16" t="s">
        <v>5810</v>
      </c>
      <c r="B54" s="16" t="str">
        <f>IMAGE("https://lmztiles.s3.eu-west-1.amazonaws.com/Modern_Interiors_v41.3.4/1_Interiors/16x16/Theme_Sorter_Singles/26_Condominium_Singles/Condominium_Singles_54.png")</f>
        <v/>
      </c>
    </row>
    <row r="55" ht="38.25" customHeight="1">
      <c r="A55" s="16" t="s">
        <v>5811</v>
      </c>
      <c r="B55" s="16" t="str">
        <f>IMAGE("https://lmztiles.s3.eu-west-1.amazonaws.com/Modern_Interiors_v41.3.4/1_Interiors/16x16/Theme_Sorter_Singles/26_Condominium_Singles/Condominium_Singles_55.png")</f>
        <v/>
      </c>
    </row>
    <row r="56" ht="38.25" customHeight="1">
      <c r="A56" s="16" t="s">
        <v>5812</v>
      </c>
      <c r="B56" s="16" t="str">
        <f>IMAGE("https://lmztiles.s3.eu-west-1.amazonaws.com/Modern_Interiors_v41.3.4/1_Interiors/16x16/Theme_Sorter_Singles/26_Condominium_Singles/Condominium_Singles_56.png")</f>
        <v/>
      </c>
    </row>
    <row r="57" ht="38.25" customHeight="1">
      <c r="A57" s="16" t="s">
        <v>5813</v>
      </c>
      <c r="B57" s="16" t="str">
        <f>IMAGE("https://lmztiles.s3.eu-west-1.amazonaws.com/Modern_Interiors_v41.3.4/1_Interiors/16x16/Theme_Sorter_Singles/26_Condominium_Singles/Condominium_Singles_57.png")</f>
        <v/>
      </c>
    </row>
    <row r="58" ht="38.25" customHeight="1">
      <c r="A58" s="16" t="s">
        <v>5814</v>
      </c>
      <c r="B58" s="16" t="str">
        <f>IMAGE("https://lmztiles.s3.eu-west-1.amazonaws.com/Modern_Interiors_v41.3.4/1_Interiors/16x16/Theme_Sorter_Singles/26_Condominium_Singles/Condominium_Singles_58.png")</f>
        <v/>
      </c>
    </row>
    <row r="59" ht="38.25" customHeight="1">
      <c r="A59" s="16" t="s">
        <v>5815</v>
      </c>
      <c r="B59" s="16" t="str">
        <f>IMAGE("https://lmztiles.s3.eu-west-1.amazonaws.com/Modern_Interiors_v41.3.4/1_Interiors/16x16/Theme_Sorter_Singles/26_Condominium_Singles/Condominium_Singles_59.png")</f>
        <v/>
      </c>
    </row>
    <row r="60" ht="38.25" customHeight="1">
      <c r="A60" s="16" t="s">
        <v>5816</v>
      </c>
      <c r="B60" s="16" t="str">
        <f>IMAGE("https://lmztiles.s3.eu-west-1.amazonaws.com/Modern_Interiors_v41.3.4/1_Interiors/16x16/Theme_Sorter_Singles/26_Condominium_Singles/Condominium_Singles_60.png")</f>
        <v/>
      </c>
    </row>
    <row r="61" ht="38.25" customHeight="1">
      <c r="A61" s="16" t="s">
        <v>5817</v>
      </c>
      <c r="B61" s="16" t="str">
        <f>IMAGE("https://lmztiles.s3.eu-west-1.amazonaws.com/Modern_Interiors_v41.3.4/1_Interiors/16x16/Theme_Sorter_Singles/26_Condominium_Singles/Condominium_Singles_61.png")</f>
        <v/>
      </c>
    </row>
    <row r="62" ht="38.25" customHeight="1">
      <c r="A62" s="16" t="s">
        <v>5818</v>
      </c>
      <c r="B62" s="16" t="str">
        <f>IMAGE("https://lmztiles.s3.eu-west-1.amazonaws.com/Modern_Interiors_v41.3.4/1_Interiors/16x16/Theme_Sorter_Singles/26_Condominium_Singles/Condominium_Singles_62.png")</f>
        <v/>
      </c>
    </row>
    <row r="63" ht="38.25" customHeight="1">
      <c r="A63" s="16" t="s">
        <v>5819</v>
      </c>
      <c r="B63" s="16" t="str">
        <f>IMAGE("https://lmztiles.s3.eu-west-1.amazonaws.com/Modern_Interiors_v41.3.4/1_Interiors/16x16/Theme_Sorter_Singles/26_Condominium_Singles/Condominium_Singles_63.png")</f>
        <v/>
      </c>
    </row>
    <row r="64" ht="38.25" customHeight="1">
      <c r="A64" s="16" t="s">
        <v>5820</v>
      </c>
      <c r="B64" s="16" t="str">
        <f>IMAGE("https://lmztiles.s3.eu-west-1.amazonaws.com/Modern_Interiors_v41.3.4/1_Interiors/16x16/Theme_Sorter_Singles/26_Condominium_Singles/Condominium_Singles_64.png")</f>
        <v/>
      </c>
    </row>
    <row r="65" ht="38.25" customHeight="1">
      <c r="A65" s="16" t="s">
        <v>5821</v>
      </c>
      <c r="B65" s="16" t="str">
        <f>IMAGE("https://lmztiles.s3.eu-west-1.amazonaws.com/Modern_Interiors_v41.3.4/1_Interiors/16x16/Theme_Sorter_Singles/26_Condominium_Singles/Condominium_Singles_65.png")</f>
        <v/>
      </c>
    </row>
    <row r="66" ht="38.25" customHeight="1">
      <c r="A66" s="16" t="s">
        <v>5822</v>
      </c>
      <c r="B66" s="16" t="str">
        <f>IMAGE("https://lmztiles.s3.eu-west-1.amazonaws.com/Modern_Interiors_v41.3.4/1_Interiors/16x16/Theme_Sorter_Singles/26_Condominium_Singles/Condominium_Singles_66.png")</f>
        <v/>
      </c>
    </row>
    <row r="67" ht="38.25" customHeight="1">
      <c r="A67" s="16" t="s">
        <v>5823</v>
      </c>
      <c r="B67" s="16" t="str">
        <f>IMAGE("https://lmztiles.s3.eu-west-1.amazonaws.com/Modern_Interiors_v41.3.4/1_Interiors/16x16/Theme_Sorter_Singles/26_Condominium_Singles/Condominium_Singles_67.png")</f>
        <v/>
      </c>
    </row>
    <row r="68" ht="38.25" customHeight="1">
      <c r="A68" s="16" t="s">
        <v>5824</v>
      </c>
      <c r="B68" s="16" t="str">
        <f>IMAGE("https://lmztiles.s3.eu-west-1.amazonaws.com/Modern_Interiors_v41.3.4/1_Interiors/16x16/Theme_Sorter_Singles/26_Condominium_Singles/Condominium_Singles_68.png")</f>
        <v/>
      </c>
    </row>
    <row r="69" ht="38.25" customHeight="1">
      <c r="A69" s="16" t="s">
        <v>5825</v>
      </c>
      <c r="B69" s="16" t="str">
        <f>IMAGE("https://lmztiles.s3.eu-west-1.amazonaws.com/Modern_Interiors_v41.3.4/1_Interiors/16x16/Theme_Sorter_Singles/26_Condominium_Singles/Condominium_Singles_69.png")</f>
        <v/>
      </c>
    </row>
    <row r="70" ht="38.25" customHeight="1">
      <c r="A70" s="16" t="s">
        <v>5826</v>
      </c>
      <c r="B70" s="16" t="str">
        <f>IMAGE("https://lmztiles.s3.eu-west-1.amazonaws.com/Modern_Interiors_v41.3.4/1_Interiors/16x16/Theme_Sorter_Singles/26_Condominium_Singles/Condominium_Singles_70.png")</f>
        <v/>
      </c>
    </row>
    <row r="71" ht="38.25" customHeight="1">
      <c r="A71" s="16" t="s">
        <v>5827</v>
      </c>
      <c r="B71" s="16" t="str">
        <f>IMAGE("https://lmztiles.s3.eu-west-1.amazonaws.com/Modern_Interiors_v41.3.4/1_Interiors/16x16/Theme_Sorter_Singles/26_Condominium_Singles/Condominium_Singles_71.png")</f>
        <v/>
      </c>
    </row>
    <row r="72" ht="38.25" customHeight="1">
      <c r="A72" s="16" t="s">
        <v>5828</v>
      </c>
      <c r="B72" s="16" t="str">
        <f>IMAGE("https://lmztiles.s3.eu-west-1.amazonaws.com/Modern_Interiors_v41.3.4/1_Interiors/16x16/Theme_Sorter_Singles/26_Condominium_Singles/Condominium_Singles_72.png")</f>
        <v/>
      </c>
    </row>
    <row r="73" ht="38.25" customHeight="1">
      <c r="A73" s="16" t="s">
        <v>5829</v>
      </c>
      <c r="B73" s="16" t="str">
        <f>IMAGE("https://lmztiles.s3.eu-west-1.amazonaws.com/Modern_Interiors_v41.3.4/1_Interiors/16x16/Theme_Sorter_Singles/26_Condominium_Singles/Condominium_Singles_73.png")</f>
        <v/>
      </c>
    </row>
    <row r="74" ht="38.25" customHeight="1">
      <c r="A74" s="16" t="s">
        <v>5830</v>
      </c>
      <c r="B74" s="16" t="str">
        <f>IMAGE("https://lmztiles.s3.eu-west-1.amazonaws.com/Modern_Interiors_v41.3.4/1_Interiors/16x16/Theme_Sorter_Singles/26_Condominium_Singles/Condominium_Singles_74.png")</f>
        <v/>
      </c>
    </row>
    <row r="75" ht="38.25" customHeight="1">
      <c r="A75" s="16" t="s">
        <v>5831</v>
      </c>
      <c r="B75" s="16" t="str">
        <f>IMAGE("https://lmztiles.s3.eu-west-1.amazonaws.com/Modern_Interiors_v41.3.4/1_Interiors/16x16/Theme_Sorter_Singles/26_Condominium_Singles/Condominium_Singles_75.png")</f>
        <v/>
      </c>
    </row>
    <row r="76" ht="38.25" customHeight="1">
      <c r="A76" s="16" t="s">
        <v>5832</v>
      </c>
      <c r="B76" s="16" t="str">
        <f>IMAGE("https://lmztiles.s3.eu-west-1.amazonaws.com/Modern_Interiors_v41.3.4/1_Interiors/16x16/Theme_Sorter_Singles/26_Condominium_Singles/Condominium_Singles_76.png")</f>
        <v/>
      </c>
    </row>
    <row r="77" ht="38.25" customHeight="1">
      <c r="A77" s="16" t="s">
        <v>5833</v>
      </c>
      <c r="B77" s="16" t="str">
        <f>IMAGE("https://lmztiles.s3.eu-west-1.amazonaws.com/Modern_Interiors_v41.3.4/1_Interiors/16x16/Theme_Sorter_Singles/26_Condominium_Singles/Condominium_Singles_77.png")</f>
        <v/>
      </c>
    </row>
    <row r="78" ht="38.25" customHeight="1">
      <c r="A78" s="16" t="s">
        <v>5834</v>
      </c>
      <c r="B78" s="16" t="str">
        <f>IMAGE("https://lmztiles.s3.eu-west-1.amazonaws.com/Modern_Interiors_v41.3.4/1_Interiors/16x16/Theme_Sorter_Singles/26_Condominium_Singles/Condominium_Singles_78.png")</f>
        <v/>
      </c>
    </row>
    <row r="79" ht="38.25" customHeight="1">
      <c r="A79" s="16" t="s">
        <v>5835</v>
      </c>
      <c r="B79" s="16" t="str">
        <f>IMAGE("https://lmztiles.s3.eu-west-1.amazonaws.com/Modern_Interiors_v41.3.4/1_Interiors/16x16/Theme_Sorter_Singles/26_Condominium_Singles/Condominium_Singles_79.png")</f>
        <v/>
      </c>
    </row>
    <row r="80" ht="38.25" customHeight="1">
      <c r="A80" s="16" t="s">
        <v>5836</v>
      </c>
      <c r="B80" s="16" t="str">
        <f>IMAGE("https://lmztiles.s3.eu-west-1.amazonaws.com/Modern_Interiors_v41.3.4/1_Interiors/16x16/Theme_Sorter_Singles/26_Condominium_Singles/Condominium_Singles_80.png")</f>
        <v/>
      </c>
    </row>
    <row r="81" ht="38.25" customHeight="1">
      <c r="A81" s="16" t="s">
        <v>5837</v>
      </c>
      <c r="B81" s="16" t="str">
        <f>IMAGE("https://lmztiles.s3.eu-west-1.amazonaws.com/Modern_Interiors_v41.3.4/1_Interiors/16x16/Theme_Sorter_Singles/26_Condominium_Singles/Condominium_Singles_81.png")</f>
        <v/>
      </c>
    </row>
    <row r="82" ht="38.25" customHeight="1">
      <c r="A82" s="16" t="s">
        <v>5838</v>
      </c>
      <c r="B82" s="16" t="str">
        <f>IMAGE("https://lmztiles.s3.eu-west-1.amazonaws.com/Modern_Interiors_v41.3.4/1_Interiors/16x16/Theme_Sorter_Singles/26_Condominium_Singles/Condominium_Singles_82.png")</f>
        <v/>
      </c>
    </row>
    <row r="83" ht="38.25" customHeight="1">
      <c r="A83" s="16" t="s">
        <v>5839</v>
      </c>
      <c r="B83" s="16" t="str">
        <f>IMAGE("https://lmztiles.s3.eu-west-1.amazonaws.com/Modern_Interiors_v41.3.4/1_Interiors/16x16/Theme_Sorter_Singles/26_Condominium_Singles/Condominium_Singles_83.png")</f>
        <v/>
      </c>
    </row>
    <row r="84" ht="38.25" customHeight="1">
      <c r="A84" s="16" t="s">
        <v>5840</v>
      </c>
      <c r="B84" s="16" t="str">
        <f>IMAGE("https://lmztiles.s3.eu-west-1.amazonaws.com/Modern_Interiors_v41.3.4/1_Interiors/16x16/Theme_Sorter_Singles/26_Condominium_Singles/Condominium_Singles_84.png")</f>
        <v/>
      </c>
    </row>
    <row r="85" ht="38.25" customHeight="1">
      <c r="A85" s="16" t="s">
        <v>5841</v>
      </c>
      <c r="B85" s="16" t="str">
        <f>IMAGE("https://lmztiles.s3.eu-west-1.amazonaws.com/Modern_Interiors_v41.3.4/1_Interiors/16x16/Theme_Sorter_Singles/26_Condominium_Singles/Condominium_Singles_85.png")</f>
        <v/>
      </c>
    </row>
    <row r="86" ht="38.25" customHeight="1">
      <c r="A86" s="16" t="s">
        <v>5842</v>
      </c>
      <c r="B86" s="16" t="str">
        <f>IMAGE("https://lmztiles.s3.eu-west-1.amazonaws.com/Modern_Interiors_v41.3.4/1_Interiors/16x16/Theme_Sorter_Singles/26_Condominium_Singles/Condominium_Singles_86.png")</f>
        <v/>
      </c>
    </row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8.71"/>
    <col customWidth="1" min="3" max="3" width="51.86"/>
  </cols>
  <sheetData>
    <row r="1" ht="35.25" customHeight="1">
      <c r="A1" s="14" t="s">
        <v>229</v>
      </c>
      <c r="B1" s="14" t="str">
        <f>IMAGE("https://lmztiles.s3.eu-west-1.amazonaws.com/Modern_Interiors_v41.3.4/1_Interiors/16x16/Theme_Sorter_Singles/3_Bathroom_Singles/Bathroom_Singles_1.png")</f>
        <v/>
      </c>
      <c r="C1" s="15" t="s">
        <v>230</v>
      </c>
    </row>
    <row r="2" ht="35.25" customHeight="1">
      <c r="A2" s="14" t="s">
        <v>231</v>
      </c>
      <c r="B2" s="14" t="str">
        <f>IMAGE("https://lmztiles.s3.eu-west-1.amazonaws.com/Modern_Interiors_v41.3.4/1_Interiors/16x16/Theme_Sorter_Singles/3_Bathroom_Singles/Bathroom_Singles_2.png")</f>
        <v/>
      </c>
      <c r="C2" s="15" t="s">
        <v>232</v>
      </c>
    </row>
    <row r="3" ht="35.25" customHeight="1">
      <c r="A3" s="14" t="s">
        <v>233</v>
      </c>
      <c r="B3" s="14" t="str">
        <f>IMAGE("https://lmztiles.s3.eu-west-1.amazonaws.com/Modern_Interiors_v41.3.4/1_Interiors/16x16/Theme_Sorter_Singles/3_Bathroom_Singles/Bathroom_Singles_3.png")</f>
        <v/>
      </c>
      <c r="C3" s="15" t="s">
        <v>234</v>
      </c>
    </row>
    <row r="4" ht="35.25" customHeight="1">
      <c r="A4" s="14" t="s">
        <v>235</v>
      </c>
      <c r="B4" s="14" t="str">
        <f>IMAGE("https://lmztiles.s3.eu-west-1.amazonaws.com/Modern_Interiors_v41.3.4/1_Interiors/16x16/Theme_Sorter_Singles/3_Bathroom_Singles/Bathroom_Singles_4.png")</f>
        <v/>
      </c>
      <c r="C4" s="15" t="s">
        <v>236</v>
      </c>
    </row>
    <row r="5" ht="35.25" customHeight="1">
      <c r="A5" s="14" t="s">
        <v>237</v>
      </c>
      <c r="B5" s="14" t="str">
        <f>IMAGE("https://lmztiles.s3.eu-west-1.amazonaws.com/Modern_Interiors_v41.3.4/1_Interiors/16x16/Theme_Sorter_Singles/3_Bathroom_Singles/Bathroom_Singles_5.png")</f>
        <v/>
      </c>
      <c r="C5" s="15" t="s">
        <v>238</v>
      </c>
    </row>
    <row r="6" ht="35.25" customHeight="1">
      <c r="A6" s="14" t="s">
        <v>239</v>
      </c>
      <c r="B6" s="14" t="str">
        <f>IMAGE("https://lmztiles.s3.eu-west-1.amazonaws.com/Modern_Interiors_v41.3.4/1_Interiors/16x16/Theme_Sorter_Singles/3_Bathroom_Singles/Bathroom_Singles_6.png")</f>
        <v/>
      </c>
      <c r="C6" s="15" t="s">
        <v>240</v>
      </c>
    </row>
    <row r="7" ht="35.25" customHeight="1">
      <c r="A7" s="14" t="s">
        <v>241</v>
      </c>
      <c r="B7" s="14" t="str">
        <f>IMAGE("https://lmztiles.s3.eu-west-1.amazonaws.com/Modern_Interiors_v41.3.4/1_Interiors/16x16/Theme_Sorter_Singles/3_Bathroom_Singles/Bathroom_Singles_7.png")</f>
        <v/>
      </c>
      <c r="C7" s="15" t="s">
        <v>242</v>
      </c>
    </row>
    <row r="8" ht="35.25" customHeight="1">
      <c r="A8" s="14" t="s">
        <v>243</v>
      </c>
      <c r="B8" s="14" t="str">
        <f>IMAGE("https://lmztiles.s3.eu-west-1.amazonaws.com/Modern_Interiors_v41.3.4/1_Interiors/16x16/Theme_Sorter_Singles/3_Bathroom_Singles/Bathroom_Singles_8.png")</f>
        <v/>
      </c>
      <c r="C8" s="15" t="s">
        <v>230</v>
      </c>
    </row>
    <row r="9" ht="35.25" customHeight="1">
      <c r="A9" s="14" t="s">
        <v>244</v>
      </c>
      <c r="B9" s="14" t="str">
        <f>IMAGE("https://lmztiles.s3.eu-west-1.amazonaws.com/Modern_Interiors_v41.3.4/1_Interiors/16x16/Theme_Sorter_Singles/3_Bathroom_Singles/Bathroom_Singles_9.png")</f>
        <v/>
      </c>
      <c r="C9" s="15" t="s">
        <v>232</v>
      </c>
    </row>
    <row r="10" ht="35.25" customHeight="1">
      <c r="A10" s="14" t="s">
        <v>245</v>
      </c>
      <c r="B10" s="14" t="str">
        <f>IMAGE("https://lmztiles.s3.eu-west-1.amazonaws.com/Modern_Interiors_v41.3.4/1_Interiors/16x16/Theme_Sorter_Singles/3_Bathroom_Singles/Bathroom_Singles_10.png")</f>
        <v/>
      </c>
      <c r="C10" s="15" t="s">
        <v>234</v>
      </c>
    </row>
    <row r="11" ht="35.25" customHeight="1">
      <c r="A11" s="14" t="s">
        <v>246</v>
      </c>
      <c r="B11" s="14" t="str">
        <f>IMAGE("https://lmztiles.s3.eu-west-1.amazonaws.com/Modern_Interiors_v41.3.4/1_Interiors/16x16/Theme_Sorter_Singles/3_Bathroom_Singles/Bathroom_Singles_11.png")</f>
        <v/>
      </c>
      <c r="C11" s="15" t="s">
        <v>236</v>
      </c>
    </row>
    <row r="12" ht="35.25" customHeight="1">
      <c r="A12" s="14" t="s">
        <v>247</v>
      </c>
      <c r="B12" s="14" t="str">
        <f>IMAGE("https://lmztiles.s3.eu-west-1.amazonaws.com/Modern_Interiors_v41.3.4/1_Interiors/16x16/Theme_Sorter_Singles/3_Bathroom_Singles/Bathroom_Singles_12.png")</f>
        <v/>
      </c>
      <c r="C12" s="15" t="s">
        <v>238</v>
      </c>
    </row>
    <row r="13" ht="35.25" customHeight="1">
      <c r="A13" s="14" t="s">
        <v>248</v>
      </c>
      <c r="B13" s="14" t="str">
        <f>IMAGE("https://lmztiles.s3.eu-west-1.amazonaws.com/Modern_Interiors_v41.3.4/1_Interiors/16x16/Theme_Sorter_Singles/3_Bathroom_Singles/Bathroom_Singles_13.png")</f>
        <v/>
      </c>
      <c r="C13" s="15" t="s">
        <v>240</v>
      </c>
    </row>
    <row r="14" ht="35.25" customHeight="1">
      <c r="A14" s="14" t="s">
        <v>249</v>
      </c>
      <c r="B14" s="14" t="str">
        <f>IMAGE("https://lmztiles.s3.eu-west-1.amazonaws.com/Modern_Interiors_v41.3.4/1_Interiors/16x16/Theme_Sorter_Singles/3_Bathroom_Singles/Bathroom_Singles_14.png")</f>
        <v/>
      </c>
      <c r="C14" s="15" t="s">
        <v>242</v>
      </c>
    </row>
    <row r="15" ht="35.25" customHeight="1">
      <c r="A15" s="14" t="s">
        <v>250</v>
      </c>
      <c r="B15" s="14" t="str">
        <f>IMAGE("https://lmztiles.s3.eu-west-1.amazonaws.com/Modern_Interiors_v41.3.4/1_Interiors/16x16/Theme_Sorter_Singles/3_Bathroom_Singles/Bathroom_Singles_15.png")</f>
        <v/>
      </c>
      <c r="C15" s="15" t="s">
        <v>251</v>
      </c>
    </row>
    <row r="16" ht="35.25" customHeight="1">
      <c r="A16" s="14" t="s">
        <v>252</v>
      </c>
      <c r="B16" s="14" t="str">
        <f>IMAGE("https://lmztiles.s3.eu-west-1.amazonaws.com/Modern_Interiors_v41.3.4/1_Interiors/16x16/Theme_Sorter_Singles/3_Bathroom_Singles/Bathroom_Singles_16.png")</f>
        <v/>
      </c>
      <c r="C16" s="15" t="s">
        <v>251</v>
      </c>
    </row>
    <row r="17" ht="35.25" customHeight="1">
      <c r="A17" s="14" t="s">
        <v>253</v>
      </c>
      <c r="B17" s="14" t="str">
        <f>IMAGE("https://lmztiles.s3.eu-west-1.amazonaws.com/Modern_Interiors_v41.3.4/1_Interiors/16x16/Theme_Sorter_Singles/3_Bathroom_Singles/Bathroom_Singles_17.png")</f>
        <v/>
      </c>
      <c r="C17" s="15" t="s">
        <v>251</v>
      </c>
    </row>
    <row r="18" ht="35.25" customHeight="1">
      <c r="A18" s="14" t="s">
        <v>254</v>
      </c>
      <c r="B18" s="14" t="str">
        <f>IMAGE("https://lmztiles.s3.eu-west-1.amazonaws.com/Modern_Interiors_v41.3.4/1_Interiors/16x16/Theme_Sorter_Singles/3_Bathroom_Singles/Bathroom_Singles_18.png")</f>
        <v/>
      </c>
      <c r="C18" s="15" t="s">
        <v>251</v>
      </c>
    </row>
    <row r="19" ht="35.25" customHeight="1">
      <c r="A19" s="14" t="s">
        <v>255</v>
      </c>
      <c r="B19" s="14" t="str">
        <f>IMAGE("https://lmztiles.s3.eu-west-1.amazonaws.com/Modern_Interiors_v41.3.4/1_Interiors/16x16/Theme_Sorter_Singles/3_Bathroom_Singles/Bathroom_Singles_19.png")</f>
        <v/>
      </c>
      <c r="C19" s="15" t="s">
        <v>251</v>
      </c>
    </row>
    <row r="20" ht="35.25" customHeight="1">
      <c r="A20" s="14" t="s">
        <v>256</v>
      </c>
      <c r="B20" s="14" t="str">
        <f>IMAGE("https://lmztiles.s3.eu-west-1.amazonaws.com/Modern_Interiors_v41.3.4/1_Interiors/16x16/Theme_Sorter_Singles/3_Bathroom_Singles/Bathroom_Singles_20.png")</f>
        <v/>
      </c>
      <c r="C20" s="15" t="s">
        <v>251</v>
      </c>
    </row>
    <row r="21" ht="35.25" customHeight="1">
      <c r="A21" s="14" t="s">
        <v>257</v>
      </c>
      <c r="B21" s="14" t="str">
        <f>IMAGE("https://lmztiles.s3.eu-west-1.amazonaws.com/Modern_Interiors_v41.3.4/1_Interiors/16x16/Theme_Sorter_Singles/3_Bathroom_Singles/Bathroom_Singles_21.png")</f>
        <v/>
      </c>
      <c r="C21" s="15" t="s">
        <v>258</v>
      </c>
    </row>
    <row r="22" ht="35.25" customHeight="1">
      <c r="A22" s="14" t="s">
        <v>259</v>
      </c>
      <c r="B22" s="14" t="str">
        <f>IMAGE("https://lmztiles.s3.eu-west-1.amazonaws.com/Modern_Interiors_v41.3.4/1_Interiors/16x16/Theme_Sorter_Singles/3_Bathroom_Singles/Bathroom_Singles_22.png")</f>
        <v/>
      </c>
      <c r="C22" s="15" t="s">
        <v>260</v>
      </c>
    </row>
    <row r="23" ht="35.25" customHeight="1">
      <c r="A23" s="14" t="s">
        <v>261</v>
      </c>
      <c r="B23" s="14" t="str">
        <f>IMAGE("https://lmztiles.s3.eu-west-1.amazonaws.com/Modern_Interiors_v41.3.4/1_Interiors/16x16/Theme_Sorter_Singles/3_Bathroom_Singles/Bathroom_Singles_23.png")</f>
        <v/>
      </c>
      <c r="C23" s="15" t="s">
        <v>262</v>
      </c>
    </row>
    <row r="24" ht="35.25" customHeight="1">
      <c r="A24" s="14" t="s">
        <v>263</v>
      </c>
      <c r="B24" s="14" t="str">
        <f>IMAGE("https://lmztiles.s3.eu-west-1.amazonaws.com/Modern_Interiors_v41.3.4/1_Interiors/16x16/Theme_Sorter_Singles/3_Bathroom_Singles/Bathroom_Singles_24.png")</f>
        <v/>
      </c>
      <c r="C24" s="15" t="s">
        <v>264</v>
      </c>
    </row>
    <row r="25" ht="35.25" customHeight="1">
      <c r="A25" s="14" t="s">
        <v>265</v>
      </c>
      <c r="B25" s="14" t="str">
        <f>IMAGE("https://lmztiles.s3.eu-west-1.amazonaws.com/Modern_Interiors_v41.3.4/1_Interiors/16x16/Theme_Sorter_Singles/3_Bathroom_Singles/Bathroom_Singles_25.png")</f>
        <v/>
      </c>
      <c r="C25" s="15" t="s">
        <v>266</v>
      </c>
    </row>
    <row r="26" ht="35.25" customHeight="1">
      <c r="A26" s="14" t="s">
        <v>267</v>
      </c>
      <c r="B26" s="14" t="str">
        <f>IMAGE("https://lmztiles.s3.eu-west-1.amazonaws.com/Modern_Interiors_v41.3.4/1_Interiors/16x16/Theme_Sorter_Singles/3_Bathroom_Singles/Bathroom_Singles_26.png")</f>
        <v/>
      </c>
      <c r="C26" s="15" t="s">
        <v>268</v>
      </c>
    </row>
    <row r="27" ht="35.25" customHeight="1">
      <c r="A27" s="14" t="s">
        <v>269</v>
      </c>
      <c r="B27" s="14" t="str">
        <f>IMAGE("https://lmztiles.s3.eu-west-1.amazonaws.com/Modern_Interiors_v41.3.4/1_Interiors/16x16/Theme_Sorter_Singles/3_Bathroom_Singles/Bathroom_Singles_27.png")</f>
        <v/>
      </c>
      <c r="C27" s="15" t="s">
        <v>270</v>
      </c>
    </row>
    <row r="28" ht="35.25" customHeight="1">
      <c r="A28" s="14" t="s">
        <v>271</v>
      </c>
      <c r="B28" s="14" t="str">
        <f>IMAGE("https://lmztiles.s3.eu-west-1.amazonaws.com/Modern_Interiors_v41.3.4/1_Interiors/16x16/Theme_Sorter_Singles/3_Bathroom_Singles/Bathroom_Singles_28.png")</f>
        <v/>
      </c>
      <c r="C28" s="15" t="s">
        <v>272</v>
      </c>
    </row>
    <row r="29" ht="35.25" customHeight="1">
      <c r="A29" s="14" t="s">
        <v>273</v>
      </c>
      <c r="B29" s="14" t="str">
        <f>IMAGE("https://lmztiles.s3.eu-west-1.amazonaws.com/Modern_Interiors_v41.3.4/1_Interiors/16x16/Theme_Sorter_Singles/3_Bathroom_Singles/Bathroom_Singles_29.png")</f>
        <v/>
      </c>
      <c r="C29" s="15" t="s">
        <v>274</v>
      </c>
    </row>
    <row r="30" ht="35.25" customHeight="1">
      <c r="A30" s="14" t="s">
        <v>275</v>
      </c>
      <c r="B30" s="14" t="str">
        <f>IMAGE("https://lmztiles.s3.eu-west-1.amazonaws.com/Modern_Interiors_v41.3.4/1_Interiors/16x16/Theme_Sorter_Singles/3_Bathroom_Singles/Bathroom_Singles_30.png")</f>
        <v/>
      </c>
      <c r="C30" s="15" t="s">
        <v>276</v>
      </c>
    </row>
    <row r="31" ht="35.25" customHeight="1">
      <c r="A31" s="14" t="s">
        <v>277</v>
      </c>
      <c r="B31" s="14" t="str">
        <f>IMAGE("https://lmztiles.s3.eu-west-1.amazonaws.com/Modern_Interiors_v41.3.4/1_Interiors/16x16/Theme_Sorter_Singles/3_Bathroom_Singles/Bathroom_Singles_31.png")</f>
        <v/>
      </c>
      <c r="C31" s="15" t="s">
        <v>278</v>
      </c>
    </row>
    <row r="32" ht="35.25" customHeight="1">
      <c r="A32" s="14" t="s">
        <v>279</v>
      </c>
      <c r="B32" s="14" t="str">
        <f>IMAGE("https://lmztiles.s3.eu-west-1.amazonaws.com/Modern_Interiors_v41.3.4/1_Interiors/16x16/Theme_Sorter_Singles/3_Bathroom_Singles/Bathroom_Singles_32.png")</f>
        <v/>
      </c>
      <c r="C32" s="15" t="s">
        <v>280</v>
      </c>
    </row>
    <row r="33" ht="35.25" customHeight="1">
      <c r="A33" s="14" t="s">
        <v>281</v>
      </c>
      <c r="B33" s="14" t="str">
        <f>IMAGE("https://lmztiles.s3.eu-west-1.amazonaws.com/Modern_Interiors_v41.3.4/1_Interiors/16x16/Theme_Sorter_Singles/3_Bathroom_Singles/Bathroom_Singles_33.png")</f>
        <v/>
      </c>
      <c r="C33" s="15" t="s">
        <v>282</v>
      </c>
    </row>
    <row r="34" ht="35.25" customHeight="1">
      <c r="A34" s="14" t="s">
        <v>283</v>
      </c>
      <c r="B34" s="14" t="str">
        <f>IMAGE("https://lmztiles.s3.eu-west-1.amazonaws.com/Modern_Interiors_v41.3.4/1_Interiors/16x16/Theme_Sorter_Singles/3_Bathroom_Singles/Bathroom_Singles_34.png")</f>
        <v/>
      </c>
      <c r="C34" s="15" t="s">
        <v>284</v>
      </c>
    </row>
    <row r="35" ht="35.25" customHeight="1">
      <c r="A35" s="14" t="s">
        <v>285</v>
      </c>
      <c r="B35" s="14" t="str">
        <f>IMAGE("https://lmztiles.s3.eu-west-1.amazonaws.com/Modern_Interiors_v41.3.4/1_Interiors/16x16/Theme_Sorter_Singles/3_Bathroom_Singles/Bathroom_Singles_35.png")</f>
        <v/>
      </c>
      <c r="C35" s="15" t="s">
        <v>286</v>
      </c>
    </row>
    <row r="36" ht="35.25" customHeight="1">
      <c r="A36" s="14" t="s">
        <v>287</v>
      </c>
      <c r="B36" s="14" t="str">
        <f>IMAGE("https://lmztiles.s3.eu-west-1.amazonaws.com/Modern_Interiors_v41.3.4/1_Interiors/16x16/Theme_Sorter_Singles/3_Bathroom_Singles/Bathroom_Singles_36.png")</f>
        <v/>
      </c>
      <c r="C36" s="15" t="s">
        <v>288</v>
      </c>
    </row>
    <row r="37" ht="35.25" customHeight="1">
      <c r="A37" s="14" t="s">
        <v>289</v>
      </c>
      <c r="B37" s="14" t="str">
        <f>IMAGE("https://lmztiles.s3.eu-west-1.amazonaws.com/Modern_Interiors_v41.3.4/1_Interiors/16x16/Theme_Sorter_Singles/3_Bathroom_Singles/Bathroom_Singles_37.png")</f>
        <v/>
      </c>
      <c r="C37" s="15" t="s">
        <v>290</v>
      </c>
    </row>
    <row r="38" ht="35.25" customHeight="1">
      <c r="A38" s="14" t="s">
        <v>291</v>
      </c>
      <c r="B38" s="14" t="str">
        <f>IMAGE("https://lmztiles.s3.eu-west-1.amazonaws.com/Modern_Interiors_v41.3.4/1_Interiors/16x16/Theme_Sorter_Singles/3_Bathroom_Singles/Bathroom_Singles_38.png")</f>
        <v/>
      </c>
      <c r="C38" s="15" t="s">
        <v>292</v>
      </c>
    </row>
    <row r="39" ht="35.25" customHeight="1">
      <c r="A39" s="14" t="s">
        <v>293</v>
      </c>
      <c r="B39" s="14" t="str">
        <f>IMAGE("https://lmztiles.s3.eu-west-1.amazonaws.com/Modern_Interiors_v41.3.4/1_Interiors/16x16/Theme_Sorter_Singles/3_Bathroom_Singles/Bathroom_Singles_39.png")</f>
        <v/>
      </c>
      <c r="C39" s="15" t="s">
        <v>294</v>
      </c>
    </row>
    <row r="40" ht="35.25" customHeight="1">
      <c r="A40" s="14" t="s">
        <v>295</v>
      </c>
      <c r="B40" s="14" t="str">
        <f>IMAGE("https://lmztiles.s3.eu-west-1.amazonaws.com/Modern_Interiors_v41.3.4/1_Interiors/16x16/Theme_Sorter_Singles/3_Bathroom_Singles/Bathroom_Singles_40.png")</f>
        <v/>
      </c>
      <c r="C40" s="15" t="s">
        <v>296</v>
      </c>
    </row>
    <row r="41" ht="35.25" customHeight="1">
      <c r="A41" s="14" t="s">
        <v>297</v>
      </c>
      <c r="B41" s="14" t="str">
        <f>IMAGE("https://lmztiles.s3.eu-west-1.amazonaws.com/Modern_Interiors_v41.3.4/1_Interiors/16x16/Theme_Sorter_Singles/3_Bathroom_Singles/Bathroom_Singles_41.png")</f>
        <v/>
      </c>
      <c r="C41" s="15" t="s">
        <v>298</v>
      </c>
    </row>
    <row r="42" ht="35.25" customHeight="1">
      <c r="A42" s="14" t="s">
        <v>299</v>
      </c>
      <c r="B42" s="14" t="str">
        <f>IMAGE("https://lmztiles.s3.eu-west-1.amazonaws.com/Modern_Interiors_v41.3.4/1_Interiors/16x16/Theme_Sorter_Singles/3_Bathroom_Singles/Bathroom_Singles_42.png")</f>
        <v/>
      </c>
      <c r="C42" s="15" t="s">
        <v>300</v>
      </c>
    </row>
    <row r="43" ht="35.25" customHeight="1">
      <c r="A43" s="14" t="s">
        <v>301</v>
      </c>
      <c r="B43" s="14" t="str">
        <f>IMAGE("https://lmztiles.s3.eu-west-1.amazonaws.com/Modern_Interiors_v41.3.4/1_Interiors/16x16/Theme_Sorter_Singles/3_Bathroom_Singles/Bathroom_Singles_43.png")</f>
        <v/>
      </c>
      <c r="C43" s="15" t="s">
        <v>302</v>
      </c>
    </row>
    <row r="44" ht="35.25" customHeight="1">
      <c r="A44" s="14" t="s">
        <v>303</v>
      </c>
      <c r="B44" s="14" t="str">
        <f>IMAGE("https://lmztiles.s3.eu-west-1.amazonaws.com/Modern_Interiors_v41.3.4/1_Interiors/16x16/Theme_Sorter_Singles/3_Bathroom_Singles/Bathroom_Singles_44.png")</f>
        <v/>
      </c>
      <c r="C44" s="15" t="s">
        <v>304</v>
      </c>
    </row>
    <row r="45" ht="35.25" customHeight="1">
      <c r="A45" s="14" t="s">
        <v>305</v>
      </c>
      <c r="B45" s="14" t="str">
        <f>IMAGE("https://lmztiles.s3.eu-west-1.amazonaws.com/Modern_Interiors_v41.3.4/1_Interiors/16x16/Theme_Sorter_Singles/3_Bathroom_Singles/Bathroom_Singles_45.png")</f>
        <v/>
      </c>
      <c r="C45" s="15" t="s">
        <v>306</v>
      </c>
    </row>
    <row r="46" ht="35.25" customHeight="1">
      <c r="A46" s="14" t="s">
        <v>307</v>
      </c>
      <c r="B46" s="14" t="str">
        <f>IMAGE("https://lmztiles.s3.eu-west-1.amazonaws.com/Modern_Interiors_v41.3.4/1_Interiors/16x16/Theme_Sorter_Singles/3_Bathroom_Singles/Bathroom_Singles_46.png")</f>
        <v/>
      </c>
      <c r="C46" s="15" t="s">
        <v>308</v>
      </c>
    </row>
    <row r="47" ht="35.25" customHeight="1">
      <c r="A47" s="14" t="s">
        <v>309</v>
      </c>
      <c r="B47" s="14" t="str">
        <f>IMAGE("https://lmztiles.s3.eu-west-1.amazonaws.com/Modern_Interiors_v41.3.4/1_Interiors/16x16/Theme_Sorter_Singles/3_Bathroom_Singles/Bathroom_Singles_47.png")</f>
        <v/>
      </c>
      <c r="C47" s="15" t="s">
        <v>310</v>
      </c>
    </row>
    <row r="48" ht="35.25" customHeight="1">
      <c r="A48" s="14" t="s">
        <v>311</v>
      </c>
      <c r="B48" s="14" t="str">
        <f>IMAGE("https://lmztiles.s3.eu-west-1.amazonaws.com/Modern_Interiors_v41.3.4/1_Interiors/16x16/Theme_Sorter_Singles/3_Bathroom_Singles/Bathroom_Singles_48.png")</f>
        <v/>
      </c>
      <c r="C48" s="15" t="s">
        <v>312</v>
      </c>
    </row>
    <row r="49" ht="35.25" customHeight="1">
      <c r="A49" s="14" t="s">
        <v>313</v>
      </c>
      <c r="B49" s="14" t="str">
        <f>IMAGE("https://lmztiles.s3.eu-west-1.amazonaws.com/Modern_Interiors_v41.3.4/1_Interiors/16x16/Theme_Sorter_Singles/3_Bathroom_Singles/Bathroom_Singles_49.png")</f>
        <v/>
      </c>
      <c r="C49" s="15" t="s">
        <v>314</v>
      </c>
    </row>
    <row r="50" ht="35.25" customHeight="1">
      <c r="A50" s="14" t="s">
        <v>315</v>
      </c>
      <c r="B50" s="14" t="str">
        <f>IMAGE("https://lmztiles.s3.eu-west-1.amazonaws.com/Modern_Interiors_v41.3.4/1_Interiors/16x16/Theme_Sorter_Singles/3_Bathroom_Singles/Bathroom_Singles_50.png")</f>
        <v/>
      </c>
      <c r="C50" s="15" t="s">
        <v>316</v>
      </c>
    </row>
    <row r="51" ht="35.25" customHeight="1">
      <c r="A51" s="14" t="s">
        <v>317</v>
      </c>
      <c r="B51" s="14" t="str">
        <f>IMAGE("https://lmztiles.s3.eu-west-1.amazonaws.com/Modern_Interiors_v41.3.4/1_Interiors/16x16/Theme_Sorter_Singles/3_Bathroom_Singles/Bathroom_Singles_51.png")</f>
        <v/>
      </c>
      <c r="C51" s="15" t="s">
        <v>318</v>
      </c>
    </row>
    <row r="52" ht="35.25" customHeight="1">
      <c r="A52" s="14" t="s">
        <v>319</v>
      </c>
      <c r="B52" s="14" t="str">
        <f>IMAGE("https://lmztiles.s3.eu-west-1.amazonaws.com/Modern_Interiors_v41.3.4/1_Interiors/16x16/Theme_Sorter_Singles/3_Bathroom_Singles/Bathroom_Singles_52.png")</f>
        <v/>
      </c>
      <c r="C52" s="15" t="s">
        <v>320</v>
      </c>
    </row>
    <row r="53" ht="35.25" customHeight="1">
      <c r="A53" s="14" t="s">
        <v>321</v>
      </c>
      <c r="B53" s="14" t="str">
        <f>IMAGE("https://lmztiles.s3.eu-west-1.amazonaws.com/Modern_Interiors_v41.3.4/1_Interiors/16x16/Theme_Sorter_Singles/3_Bathroom_Singles/Bathroom_Singles_53.png")</f>
        <v/>
      </c>
      <c r="C53" s="15" t="s">
        <v>286</v>
      </c>
    </row>
    <row r="54" ht="35.25" customHeight="1">
      <c r="A54" s="14" t="s">
        <v>322</v>
      </c>
      <c r="B54" s="14" t="str">
        <f>IMAGE("https://lmztiles.s3.eu-west-1.amazonaws.com/Modern_Interiors_v41.3.4/1_Interiors/16x16/Theme_Sorter_Singles/3_Bathroom_Singles/Bathroom_Singles_54.png")</f>
        <v/>
      </c>
      <c r="C54" s="15" t="s">
        <v>288</v>
      </c>
    </row>
    <row r="55" ht="35.25" customHeight="1">
      <c r="A55" s="14" t="s">
        <v>323</v>
      </c>
      <c r="B55" s="14" t="str">
        <f>IMAGE("https://lmztiles.s3.eu-west-1.amazonaws.com/Modern_Interiors_v41.3.4/1_Interiors/16x16/Theme_Sorter_Singles/3_Bathroom_Singles/Bathroom_Singles_55.png")</f>
        <v/>
      </c>
      <c r="C55" s="15" t="s">
        <v>290</v>
      </c>
    </row>
    <row r="56" ht="35.25" customHeight="1">
      <c r="A56" s="14" t="s">
        <v>324</v>
      </c>
      <c r="B56" s="14" t="str">
        <f>IMAGE("https://lmztiles.s3.eu-west-1.amazonaws.com/Modern_Interiors_v41.3.4/1_Interiors/16x16/Theme_Sorter_Singles/3_Bathroom_Singles/Bathroom_Singles_56.png")</f>
        <v/>
      </c>
      <c r="C56" s="15" t="s">
        <v>325</v>
      </c>
    </row>
    <row r="57" ht="35.25" customHeight="1">
      <c r="A57" s="14" t="s">
        <v>326</v>
      </c>
      <c r="B57" s="14" t="str">
        <f>IMAGE("https://lmztiles.s3.eu-west-1.amazonaws.com/Modern_Interiors_v41.3.4/1_Interiors/16x16/Theme_Sorter_Singles/3_Bathroom_Singles/Bathroom_Singles_57.png")</f>
        <v/>
      </c>
      <c r="C57" s="15" t="s">
        <v>327</v>
      </c>
    </row>
    <row r="58" ht="35.25" customHeight="1">
      <c r="A58" s="14" t="s">
        <v>328</v>
      </c>
      <c r="B58" s="14" t="str">
        <f>IMAGE("https://lmztiles.s3.eu-west-1.amazonaws.com/Modern_Interiors_v41.3.4/1_Interiors/16x16/Theme_Sorter_Singles/3_Bathroom_Singles/Bathroom_Singles_58.png")</f>
        <v/>
      </c>
      <c r="C58" s="15" t="s">
        <v>329</v>
      </c>
    </row>
    <row r="59" ht="35.25" customHeight="1">
      <c r="A59" s="14" t="s">
        <v>330</v>
      </c>
      <c r="B59" s="14" t="str">
        <f>IMAGE("https://lmztiles.s3.eu-west-1.amazonaws.com/Modern_Interiors_v41.3.4/1_Interiors/16x16/Theme_Sorter_Singles/3_Bathroom_Singles/Bathroom_Singles_59.png")</f>
        <v/>
      </c>
      <c r="C59" s="15" t="s">
        <v>329</v>
      </c>
    </row>
    <row r="60" ht="35.25" customHeight="1">
      <c r="A60" s="14" t="s">
        <v>331</v>
      </c>
      <c r="B60" s="14" t="str">
        <f>IMAGE("https://lmztiles.s3.eu-west-1.amazonaws.com/Modern_Interiors_v41.3.4/1_Interiors/16x16/Theme_Sorter_Singles/3_Bathroom_Singles/Bathroom_Singles_60.png")</f>
        <v/>
      </c>
      <c r="C60" s="15" t="s">
        <v>332</v>
      </c>
    </row>
    <row r="61" ht="35.25" customHeight="1">
      <c r="A61" s="14" t="s">
        <v>333</v>
      </c>
      <c r="B61" s="14" t="str">
        <f>IMAGE("https://lmztiles.s3.eu-west-1.amazonaws.com/Modern_Interiors_v41.3.4/1_Interiors/16x16/Theme_Sorter_Singles/3_Bathroom_Singles/Bathroom_Singles_61.png")</f>
        <v/>
      </c>
      <c r="C61" s="15" t="s">
        <v>332</v>
      </c>
    </row>
    <row r="62" ht="35.25" customHeight="1">
      <c r="A62" s="14" t="s">
        <v>334</v>
      </c>
      <c r="B62" s="14" t="str">
        <f>IMAGE("https://lmztiles.s3.eu-west-1.amazonaws.com/Modern_Interiors_v41.3.4/1_Interiors/16x16/Theme_Sorter_Singles/3_Bathroom_Singles/Bathroom_Singles_62.png")</f>
        <v/>
      </c>
      <c r="C62" s="15" t="s">
        <v>332</v>
      </c>
    </row>
    <row r="63" ht="35.25" customHeight="1">
      <c r="A63" s="14" t="s">
        <v>335</v>
      </c>
      <c r="B63" s="14" t="str">
        <f>IMAGE("https://lmztiles.s3.eu-west-1.amazonaws.com/Modern_Interiors_v41.3.4/1_Interiors/16x16/Theme_Sorter_Singles/3_Bathroom_Singles/Bathroom_Singles_63.png")</f>
        <v/>
      </c>
      <c r="C63" s="15" t="s">
        <v>332</v>
      </c>
    </row>
    <row r="64" ht="35.25" customHeight="1">
      <c r="A64" s="14" t="s">
        <v>336</v>
      </c>
      <c r="B64" s="14" t="str">
        <f>IMAGE("https://lmztiles.s3.eu-west-1.amazonaws.com/Modern_Interiors_v41.3.4/1_Interiors/16x16/Theme_Sorter_Singles/3_Bathroom_Singles/Bathroom_Singles_64.png")</f>
        <v/>
      </c>
      <c r="C64" s="15" t="s">
        <v>337</v>
      </c>
    </row>
    <row r="65" ht="35.25" customHeight="1">
      <c r="A65" s="14" t="s">
        <v>338</v>
      </c>
      <c r="B65" s="14" t="str">
        <f>IMAGE("https://lmztiles.s3.eu-west-1.amazonaws.com/Modern_Interiors_v41.3.4/1_Interiors/16x16/Theme_Sorter_Singles/3_Bathroom_Singles/Bathroom_Singles_65.png")</f>
        <v/>
      </c>
      <c r="C65" s="15" t="s">
        <v>337</v>
      </c>
    </row>
    <row r="66" ht="35.25" customHeight="1">
      <c r="A66" s="14" t="s">
        <v>339</v>
      </c>
      <c r="B66" s="14" t="str">
        <f>IMAGE("https://lmztiles.s3.eu-west-1.amazonaws.com/Modern_Interiors_v41.3.4/1_Interiors/16x16/Theme_Sorter_Singles/3_Bathroom_Singles/Bathroom_Singles_66.png")</f>
        <v/>
      </c>
      <c r="C66" s="15" t="s">
        <v>340</v>
      </c>
    </row>
    <row r="67" ht="35.25" customHeight="1">
      <c r="A67" s="14" t="s">
        <v>341</v>
      </c>
      <c r="B67" s="14" t="str">
        <f>IMAGE("https://lmztiles.s3.eu-west-1.amazonaws.com/Modern_Interiors_v41.3.4/1_Interiors/16x16/Theme_Sorter_Singles/3_Bathroom_Singles/Bathroom_Singles_67.png")</f>
        <v/>
      </c>
      <c r="C67" s="15" t="s">
        <v>340</v>
      </c>
    </row>
    <row r="68" ht="35.25" customHeight="1">
      <c r="A68" s="14" t="s">
        <v>342</v>
      </c>
      <c r="B68" s="14" t="str">
        <f>IMAGE("https://lmztiles.s3.eu-west-1.amazonaws.com/Modern_Interiors_v41.3.4/1_Interiors/16x16/Theme_Sorter_Singles/3_Bathroom_Singles/Bathroom_Singles_68.png")</f>
        <v/>
      </c>
      <c r="C68" s="15" t="s">
        <v>340</v>
      </c>
    </row>
    <row r="69" ht="35.25" customHeight="1">
      <c r="A69" s="14" t="s">
        <v>343</v>
      </c>
      <c r="B69" s="14" t="str">
        <f>IMAGE("https://lmztiles.s3.eu-west-1.amazonaws.com/Modern_Interiors_v41.3.4/1_Interiors/16x16/Theme_Sorter_Singles/3_Bathroom_Singles/Bathroom_Singles_69.png")</f>
        <v/>
      </c>
      <c r="C69" s="15" t="s">
        <v>340</v>
      </c>
    </row>
    <row r="70" ht="35.25" customHeight="1">
      <c r="A70" s="14" t="s">
        <v>344</v>
      </c>
      <c r="B70" s="14" t="str">
        <f>IMAGE("https://lmztiles.s3.eu-west-1.amazonaws.com/Modern_Interiors_v41.3.4/1_Interiors/16x16/Theme_Sorter_Singles/3_Bathroom_Singles/Bathroom_Singles_70.png")</f>
        <v/>
      </c>
      <c r="C70" s="15" t="s">
        <v>345</v>
      </c>
    </row>
    <row r="71" ht="35.25" customHeight="1">
      <c r="A71" s="14" t="s">
        <v>346</v>
      </c>
      <c r="B71" s="14" t="str">
        <f>IMAGE("https://lmztiles.s3.eu-west-1.amazonaws.com/Modern_Interiors_v41.3.4/1_Interiors/16x16/Theme_Sorter_Singles/3_Bathroom_Singles/Bathroom_Singles_71.png")</f>
        <v/>
      </c>
      <c r="C71" s="15" t="s">
        <v>345</v>
      </c>
    </row>
    <row r="72" ht="35.25" customHeight="1">
      <c r="A72" s="14" t="s">
        <v>347</v>
      </c>
      <c r="B72" s="14" t="str">
        <f>IMAGE("https://lmztiles.s3.eu-west-1.amazonaws.com/Modern_Interiors_v41.3.4/1_Interiors/16x16/Theme_Sorter_Singles/3_Bathroom_Singles/Bathroom_Singles_72.png")</f>
        <v/>
      </c>
      <c r="C72" s="15" t="s">
        <v>345</v>
      </c>
    </row>
    <row r="73" ht="35.25" customHeight="1">
      <c r="A73" s="14" t="s">
        <v>348</v>
      </c>
      <c r="B73" s="14" t="str">
        <f>IMAGE("https://lmztiles.s3.eu-west-1.amazonaws.com/Modern_Interiors_v41.3.4/1_Interiors/16x16/Theme_Sorter_Singles/3_Bathroom_Singles/Bathroom_Singles_73.png")</f>
        <v/>
      </c>
      <c r="C73" s="15" t="s">
        <v>345</v>
      </c>
    </row>
    <row r="74" ht="35.25" customHeight="1">
      <c r="A74" s="14" t="s">
        <v>349</v>
      </c>
      <c r="B74" s="14" t="str">
        <f>IMAGE("https://lmztiles.s3.eu-west-1.amazonaws.com/Modern_Interiors_v41.3.4/1_Interiors/16x16/Theme_Sorter_Singles/3_Bathroom_Singles/Bathroom_Singles_74.png")</f>
        <v/>
      </c>
      <c r="C74" s="15" t="s">
        <v>350</v>
      </c>
    </row>
    <row r="75" ht="35.25" customHeight="1">
      <c r="A75" s="14" t="s">
        <v>351</v>
      </c>
      <c r="B75" s="14" t="str">
        <f>IMAGE("https://lmztiles.s3.eu-west-1.amazonaws.com/Modern_Interiors_v41.3.4/1_Interiors/16x16/Theme_Sorter_Singles/3_Bathroom_Singles/Bathroom_Singles_75.png")</f>
        <v/>
      </c>
      <c r="C75" s="15" t="s">
        <v>352</v>
      </c>
    </row>
    <row r="76" ht="35.25" customHeight="1">
      <c r="A76" s="14" t="s">
        <v>353</v>
      </c>
      <c r="B76" s="14" t="str">
        <f>IMAGE("https://lmztiles.s3.eu-west-1.amazonaws.com/Modern_Interiors_v41.3.4/1_Interiors/16x16/Theme_Sorter_Singles/3_Bathroom_Singles/Bathroom_Singles_76.png")</f>
        <v/>
      </c>
      <c r="C76" s="15" t="s">
        <v>354</v>
      </c>
    </row>
    <row r="77" ht="35.25" customHeight="1">
      <c r="A77" s="14" t="s">
        <v>355</v>
      </c>
      <c r="B77" s="14" t="str">
        <f>IMAGE("https://lmztiles.s3.eu-west-1.amazonaws.com/Modern_Interiors_v41.3.4/1_Interiors/16x16/Theme_Sorter_Singles/3_Bathroom_Singles/Bathroom_Singles_77.png")</f>
        <v/>
      </c>
      <c r="C77" s="15" t="s">
        <v>356</v>
      </c>
    </row>
    <row r="78" ht="35.25" customHeight="1">
      <c r="A78" s="14" t="s">
        <v>357</v>
      </c>
      <c r="B78" s="14" t="str">
        <f>IMAGE("https://lmztiles.s3.eu-west-1.amazonaws.com/Modern_Interiors_v41.3.4/1_Interiors/16x16/Theme_Sorter_Singles/3_Bathroom_Singles/Bathroom_Singles_78.png")</f>
        <v/>
      </c>
      <c r="C78" s="15" t="s">
        <v>358</v>
      </c>
    </row>
    <row r="79" ht="35.25" customHeight="1">
      <c r="A79" s="14" t="s">
        <v>359</v>
      </c>
      <c r="B79" s="14" t="str">
        <f>IMAGE("https://lmztiles.s3.eu-west-1.amazonaws.com/Modern_Interiors_v41.3.4/1_Interiors/16x16/Theme_Sorter_Singles/3_Bathroom_Singles/Bathroom_Singles_79.png")</f>
        <v/>
      </c>
      <c r="C79" s="15" t="s">
        <v>360</v>
      </c>
    </row>
    <row r="80" ht="35.25" customHeight="1">
      <c r="A80" s="14" t="s">
        <v>361</v>
      </c>
      <c r="B80" s="14" t="str">
        <f>IMAGE("https://lmztiles.s3.eu-west-1.amazonaws.com/Modern_Interiors_v41.3.4/1_Interiors/16x16/Theme_Sorter_Singles/3_Bathroom_Singles/Bathroom_Singles_80.png")</f>
        <v/>
      </c>
      <c r="C80" s="15" t="s">
        <v>362</v>
      </c>
    </row>
    <row r="81" ht="35.25" customHeight="1">
      <c r="A81" s="14" t="s">
        <v>363</v>
      </c>
      <c r="B81" s="14" t="str">
        <f>IMAGE("https://lmztiles.s3.eu-west-1.amazonaws.com/Modern_Interiors_v41.3.4/1_Interiors/16x16/Theme_Sorter_Singles/3_Bathroom_Singles/Bathroom_Singles_81.png")</f>
        <v/>
      </c>
      <c r="C81" s="15" t="s">
        <v>364</v>
      </c>
    </row>
    <row r="82" ht="35.25" customHeight="1">
      <c r="A82" s="14" t="s">
        <v>365</v>
      </c>
      <c r="B82" s="14" t="str">
        <f>IMAGE("https://lmztiles.s3.eu-west-1.amazonaws.com/Modern_Interiors_v41.3.4/1_Interiors/16x16/Theme_Sorter_Singles/3_Bathroom_Singles/Bathroom_Singles_82.png")</f>
        <v/>
      </c>
      <c r="C82" s="15" t="s">
        <v>366</v>
      </c>
    </row>
    <row r="83" ht="35.25" customHeight="1">
      <c r="A83" s="14" t="s">
        <v>367</v>
      </c>
      <c r="B83" s="14" t="str">
        <f>IMAGE("https://lmztiles.s3.eu-west-1.amazonaws.com/Modern_Interiors_v41.3.4/1_Interiors/16x16/Theme_Sorter_Singles/3_Bathroom_Singles/Bathroom_Singles_83.png")</f>
        <v/>
      </c>
      <c r="C83" s="15" t="s">
        <v>368</v>
      </c>
    </row>
    <row r="84" ht="35.25" customHeight="1">
      <c r="A84" s="14" t="s">
        <v>369</v>
      </c>
      <c r="B84" s="14" t="str">
        <f>IMAGE("https://lmztiles.s3.eu-west-1.amazonaws.com/Modern_Interiors_v41.3.4/1_Interiors/16x16/Theme_Sorter_Singles/3_Bathroom_Singles/Bathroom_Singles_84.png")</f>
        <v/>
      </c>
      <c r="C84" s="15" t="s">
        <v>370</v>
      </c>
    </row>
    <row r="85" ht="35.25" customHeight="1">
      <c r="A85" s="14" t="s">
        <v>371</v>
      </c>
      <c r="B85" s="14" t="str">
        <f>IMAGE("https://lmztiles.s3.eu-west-1.amazonaws.com/Modern_Interiors_v41.3.4/1_Interiors/16x16/Theme_Sorter_Singles/3_Bathroom_Singles/Bathroom_Singles_85.png")</f>
        <v/>
      </c>
      <c r="C85" s="15" t="s">
        <v>372</v>
      </c>
    </row>
    <row r="86" ht="35.25" customHeight="1">
      <c r="A86" s="14" t="s">
        <v>373</v>
      </c>
      <c r="B86" s="14" t="str">
        <f>IMAGE("https://lmztiles.s3.eu-west-1.amazonaws.com/Modern_Interiors_v41.3.4/1_Interiors/16x16/Theme_Sorter_Singles/3_Bathroom_Singles/Bathroom_Singles_86.png")</f>
        <v/>
      </c>
      <c r="C86" s="15" t="s">
        <v>374</v>
      </c>
    </row>
    <row r="87" ht="35.25" customHeight="1">
      <c r="A87" s="14" t="s">
        <v>375</v>
      </c>
      <c r="B87" s="14" t="str">
        <f>IMAGE("https://lmztiles.s3.eu-west-1.amazonaws.com/Modern_Interiors_v41.3.4/1_Interiors/16x16/Theme_Sorter_Singles/3_Bathroom_Singles/Bathroom_Singles_87.png")</f>
        <v/>
      </c>
      <c r="C87" s="15" t="s">
        <v>376</v>
      </c>
    </row>
    <row r="88" ht="35.25" customHeight="1">
      <c r="A88" s="14" t="s">
        <v>377</v>
      </c>
      <c r="B88" s="14" t="str">
        <f>IMAGE("https://lmztiles.s3.eu-west-1.amazonaws.com/Modern_Interiors_v41.3.4/1_Interiors/16x16/Theme_Sorter_Singles/3_Bathroom_Singles/Bathroom_Singles_88.png")</f>
        <v/>
      </c>
      <c r="C88" s="15" t="s">
        <v>378</v>
      </c>
    </row>
    <row r="89" ht="35.25" customHeight="1">
      <c r="A89" s="14" t="s">
        <v>379</v>
      </c>
      <c r="B89" s="14" t="str">
        <f>IMAGE("https://lmztiles.s3.eu-west-1.amazonaws.com/Modern_Interiors_v41.3.4/1_Interiors/16x16/Theme_Sorter_Singles/3_Bathroom_Singles/Bathroom_Singles_89.png")</f>
        <v/>
      </c>
      <c r="C89" s="15" t="s">
        <v>378</v>
      </c>
    </row>
    <row r="90" ht="35.25" customHeight="1">
      <c r="A90" s="14" t="s">
        <v>380</v>
      </c>
      <c r="B90" s="14" t="str">
        <f>IMAGE("https://lmztiles.s3.eu-west-1.amazonaws.com/Modern_Interiors_v41.3.4/1_Interiors/16x16/Theme_Sorter_Singles/3_Bathroom_Singles/Bathroom_Singles_90.png")</f>
        <v/>
      </c>
      <c r="C90" s="15" t="s">
        <v>381</v>
      </c>
    </row>
    <row r="91" ht="35.25" customHeight="1">
      <c r="A91" s="14" t="s">
        <v>382</v>
      </c>
      <c r="B91" s="14" t="str">
        <f>IMAGE("https://lmztiles.s3.eu-west-1.amazonaws.com/Modern_Interiors_v41.3.4/1_Interiors/16x16/Theme_Sorter_Singles/3_Bathroom_Singles/Bathroom_Singles_91.png")</f>
        <v/>
      </c>
      <c r="C91" s="15" t="s">
        <v>381</v>
      </c>
    </row>
    <row r="92" ht="35.25" customHeight="1">
      <c r="A92" s="14" t="s">
        <v>383</v>
      </c>
      <c r="B92" s="14" t="str">
        <f>IMAGE("https://lmztiles.s3.eu-west-1.amazonaws.com/Modern_Interiors_v41.3.4/1_Interiors/16x16/Theme_Sorter_Singles/3_Bathroom_Singles/Bathroom_Singles_92.png")</f>
        <v/>
      </c>
      <c r="C92" s="15" t="s">
        <v>384</v>
      </c>
    </row>
    <row r="93" ht="35.25" customHeight="1">
      <c r="A93" s="14" t="s">
        <v>385</v>
      </c>
      <c r="B93" s="14" t="str">
        <f>IMAGE("https://lmztiles.s3.eu-west-1.amazonaws.com/Modern_Interiors_v41.3.4/1_Interiors/16x16/Theme_Sorter_Singles/3_Bathroom_Singles/Bathroom_Singles_93.png")</f>
        <v/>
      </c>
      <c r="C93" s="15" t="s">
        <v>384</v>
      </c>
    </row>
    <row r="94" ht="35.25" customHeight="1">
      <c r="A94" s="14" t="s">
        <v>386</v>
      </c>
      <c r="B94" s="14" t="str">
        <f>IMAGE("https://lmztiles.s3.eu-west-1.amazonaws.com/Modern_Interiors_v41.3.4/1_Interiors/16x16/Theme_Sorter_Singles/3_Bathroom_Singles/Bathroom_Singles_94.png")</f>
        <v/>
      </c>
      <c r="C94" s="15" t="s">
        <v>384</v>
      </c>
    </row>
    <row r="95" ht="35.25" customHeight="1">
      <c r="A95" s="14" t="s">
        <v>387</v>
      </c>
      <c r="B95" s="14" t="str">
        <f>IMAGE("https://lmztiles.s3.eu-west-1.amazonaws.com/Modern_Interiors_v41.3.4/1_Interiors/16x16/Theme_Sorter_Singles/3_Bathroom_Singles/Bathroom_Singles_95.png")</f>
        <v/>
      </c>
      <c r="C95" s="15" t="s">
        <v>388</v>
      </c>
    </row>
    <row r="96" ht="35.25" customHeight="1">
      <c r="A96" s="14" t="s">
        <v>389</v>
      </c>
      <c r="B96" s="14" t="str">
        <f>IMAGE("https://lmztiles.s3.eu-west-1.amazonaws.com/Modern_Interiors_v41.3.4/1_Interiors/16x16/Theme_Sorter_Singles/3_Bathroom_Singles/Bathroom_Singles_96.png")</f>
        <v/>
      </c>
      <c r="C96" s="15" t="s">
        <v>390</v>
      </c>
    </row>
    <row r="97" ht="35.25" customHeight="1">
      <c r="A97" s="14" t="s">
        <v>391</v>
      </c>
      <c r="B97" s="14" t="str">
        <f>IMAGE("https://lmztiles.s3.eu-west-1.amazonaws.com/Modern_Interiors_v41.3.4/1_Interiors/16x16/Theme_Sorter_Singles/3_Bathroom_Singles/Bathroom_Singles_97.png")</f>
        <v/>
      </c>
      <c r="C97" s="15" t="s">
        <v>390</v>
      </c>
    </row>
    <row r="98" ht="35.25" customHeight="1">
      <c r="A98" s="14" t="s">
        <v>392</v>
      </c>
      <c r="B98" s="14" t="str">
        <f>IMAGE("https://lmztiles.s3.eu-west-1.amazonaws.com/Modern_Interiors_v41.3.4/1_Interiors/16x16/Theme_Sorter_Singles/3_Bathroom_Singles/Bathroom_Singles_98.png")</f>
        <v/>
      </c>
      <c r="C98" s="15" t="s">
        <v>390</v>
      </c>
    </row>
    <row r="99" ht="35.25" customHeight="1">
      <c r="A99" s="14" t="s">
        <v>393</v>
      </c>
      <c r="B99" s="14" t="str">
        <f>IMAGE("https://lmztiles.s3.eu-west-1.amazonaws.com/Modern_Interiors_v41.3.4/1_Interiors/16x16/Theme_Sorter_Singles/3_Bathroom_Singles/Bathroom_Singles_99.png")</f>
        <v/>
      </c>
      <c r="C99" s="15" t="s">
        <v>394</v>
      </c>
    </row>
    <row r="100" ht="35.25" customHeight="1">
      <c r="A100" s="14" t="s">
        <v>395</v>
      </c>
      <c r="B100" s="14" t="str">
        <f>IMAGE("https://lmztiles.s3.eu-west-1.amazonaws.com/Modern_Interiors_v41.3.4/1_Interiors/16x16/Theme_Sorter_Singles/3_Bathroom_Singles/Bathroom_Singles_100.png")</f>
        <v/>
      </c>
      <c r="C100" s="15" t="s">
        <v>396</v>
      </c>
    </row>
    <row r="101" ht="35.25" customHeight="1">
      <c r="A101" s="14" t="s">
        <v>397</v>
      </c>
      <c r="B101" s="14" t="str">
        <f>IMAGE("https://lmztiles.s3.eu-west-1.amazonaws.com/Modern_Interiors_v41.3.4/1_Interiors/16x16/Theme_Sorter_Singles/3_Bathroom_Singles/Bathroom_Singles_101.png")</f>
        <v/>
      </c>
      <c r="C101" s="15" t="s">
        <v>398</v>
      </c>
    </row>
    <row r="102" ht="35.25" customHeight="1">
      <c r="A102" s="14" t="s">
        <v>399</v>
      </c>
      <c r="B102" s="14" t="str">
        <f>IMAGE("https://lmztiles.s3.eu-west-1.amazonaws.com/Modern_Interiors_v41.3.4/1_Interiors/16x16/Theme_Sorter_Singles/3_Bathroom_Singles/Bathroom_Singles_102.png")</f>
        <v/>
      </c>
      <c r="C102" s="15" t="s">
        <v>398</v>
      </c>
    </row>
    <row r="103" ht="35.25" customHeight="1">
      <c r="A103" s="14" t="s">
        <v>400</v>
      </c>
      <c r="B103" s="14" t="str">
        <f>IMAGE("https://lmztiles.s3.eu-west-1.amazonaws.com/Modern_Interiors_v41.3.4/1_Interiors/16x16/Theme_Sorter_Singles/3_Bathroom_Singles/Bathroom_Singles_103.png")</f>
        <v/>
      </c>
      <c r="C103" s="15" t="s">
        <v>398</v>
      </c>
    </row>
    <row r="104" ht="35.25" customHeight="1">
      <c r="A104" s="14" t="s">
        <v>401</v>
      </c>
      <c r="B104" s="14" t="str">
        <f>IMAGE("https://lmztiles.s3.eu-west-1.amazonaws.com/Modern_Interiors_v41.3.4/1_Interiors/16x16/Theme_Sorter_Singles/3_Bathroom_Singles/Bathroom_Singles_104.png")</f>
        <v/>
      </c>
      <c r="C104" s="15" t="s">
        <v>398</v>
      </c>
    </row>
    <row r="105" ht="35.25" customHeight="1">
      <c r="A105" s="14" t="s">
        <v>402</v>
      </c>
      <c r="B105" s="14" t="str">
        <f>IMAGE("https://lmztiles.s3.eu-west-1.amazonaws.com/Modern_Interiors_v41.3.4/1_Interiors/16x16/Theme_Sorter_Singles/3_Bathroom_Singles/Bathroom_Singles_105.png")</f>
        <v/>
      </c>
      <c r="C105" s="15" t="s">
        <v>398</v>
      </c>
    </row>
    <row r="106" ht="35.25" customHeight="1">
      <c r="A106" s="14" t="s">
        <v>403</v>
      </c>
      <c r="B106" s="14" t="str">
        <f>IMAGE("https://lmztiles.s3.eu-west-1.amazonaws.com/Modern_Interiors_v41.3.4/1_Interiors/16x16/Theme_Sorter_Singles/3_Bathroom_Singles/Bathroom_Singles_106.png")</f>
        <v/>
      </c>
      <c r="C106" s="15" t="s">
        <v>398</v>
      </c>
    </row>
    <row r="107" ht="35.25" customHeight="1">
      <c r="A107" s="14" t="s">
        <v>404</v>
      </c>
      <c r="B107" s="14" t="str">
        <f>IMAGE("https://lmztiles.s3.eu-west-1.amazonaws.com/Modern_Interiors_v41.3.4/1_Interiors/16x16/Theme_Sorter_Singles/3_Bathroom_Singles/Bathroom_Singles_107.png")</f>
        <v/>
      </c>
      <c r="C107" s="15" t="s">
        <v>398</v>
      </c>
    </row>
    <row r="108" ht="35.25" customHeight="1">
      <c r="A108" s="14" t="s">
        <v>405</v>
      </c>
      <c r="B108" s="14" t="str">
        <f>IMAGE("https://lmztiles.s3.eu-west-1.amazonaws.com/Modern_Interiors_v41.3.4/1_Interiors/16x16/Theme_Sorter_Singles/3_Bathroom_Singles/Bathroom_Singles_108.png")</f>
        <v/>
      </c>
      <c r="C108" s="15" t="s">
        <v>398</v>
      </c>
    </row>
    <row r="109" ht="35.25" customHeight="1">
      <c r="A109" s="14" t="s">
        <v>406</v>
      </c>
      <c r="B109" s="14" t="str">
        <f>IMAGE("https://lmztiles.s3.eu-west-1.amazonaws.com/Modern_Interiors_v41.3.4/1_Interiors/16x16/Theme_Sorter_Singles/3_Bathroom_Singles/Bathroom_Singles_109.png")</f>
        <v/>
      </c>
      <c r="C109" s="15" t="s">
        <v>407</v>
      </c>
    </row>
    <row r="110" ht="35.25" customHeight="1">
      <c r="A110" s="14" t="s">
        <v>408</v>
      </c>
      <c r="B110" s="14" t="str">
        <f>IMAGE("https://lmztiles.s3.eu-west-1.amazonaws.com/Modern_Interiors_v41.3.4/1_Interiors/16x16/Theme_Sorter_Singles/3_Bathroom_Singles/Bathroom_Singles_110.png")</f>
        <v/>
      </c>
      <c r="C110" s="15" t="s">
        <v>409</v>
      </c>
    </row>
    <row r="111" ht="35.25" customHeight="1">
      <c r="A111" s="14" t="s">
        <v>410</v>
      </c>
      <c r="B111" s="14" t="str">
        <f>IMAGE("https://lmztiles.s3.eu-west-1.amazonaws.com/Modern_Interiors_v41.3.4/1_Interiors/16x16/Theme_Sorter_Singles/3_Bathroom_Singles/Bathroom_Singles_111.png")</f>
        <v/>
      </c>
      <c r="C111" s="15" t="s">
        <v>411</v>
      </c>
    </row>
    <row r="112" ht="35.25" customHeight="1">
      <c r="A112" s="14" t="s">
        <v>412</v>
      </c>
      <c r="B112" s="14" t="str">
        <f>IMAGE("https://lmztiles.s3.eu-west-1.amazonaws.com/Modern_Interiors_v41.3.4/1_Interiors/16x16/Theme_Sorter_Singles/3_Bathroom_Singles/Bathroom_Singles_112.png")</f>
        <v/>
      </c>
      <c r="C112" s="15" t="s">
        <v>413</v>
      </c>
    </row>
    <row r="113" ht="35.25" customHeight="1">
      <c r="A113" s="14" t="s">
        <v>414</v>
      </c>
      <c r="B113" s="14" t="str">
        <f>IMAGE("https://lmztiles.s3.eu-west-1.amazonaws.com/Modern_Interiors_v41.3.4/1_Interiors/16x16/Theme_Sorter_Singles/3_Bathroom_Singles/Bathroom_Singles_113.png")</f>
        <v/>
      </c>
      <c r="C113" s="15" t="s">
        <v>415</v>
      </c>
    </row>
    <row r="114" ht="35.25" customHeight="1">
      <c r="A114" s="14" t="s">
        <v>416</v>
      </c>
      <c r="B114" s="14" t="str">
        <f>IMAGE("https://lmztiles.s3.eu-west-1.amazonaws.com/Modern_Interiors_v41.3.4/1_Interiors/16x16/Theme_Sorter_Singles/3_Bathroom_Singles/Bathroom_Singles_114.png")</f>
        <v/>
      </c>
      <c r="C114" s="15" t="s">
        <v>417</v>
      </c>
    </row>
    <row r="115" ht="35.25" customHeight="1">
      <c r="A115" s="14" t="s">
        <v>418</v>
      </c>
      <c r="B115" s="14" t="str">
        <f>IMAGE("https://lmztiles.s3.eu-west-1.amazonaws.com/Modern_Interiors_v41.3.4/1_Interiors/16x16/Theme_Sorter_Singles/3_Bathroom_Singles/Bathroom_Singles_115.png")</f>
        <v/>
      </c>
      <c r="C115" s="15" t="s">
        <v>419</v>
      </c>
    </row>
    <row r="116" ht="35.25" customHeight="1">
      <c r="A116" s="14" t="s">
        <v>420</v>
      </c>
      <c r="B116" s="14" t="str">
        <f>IMAGE("https://lmztiles.s3.eu-west-1.amazonaws.com/Modern_Interiors_v41.3.4/1_Interiors/16x16/Theme_Sorter_Singles/3_Bathroom_Singles/Bathroom_Singles_116.png")</f>
        <v/>
      </c>
      <c r="C116" s="15" t="s">
        <v>421</v>
      </c>
    </row>
    <row r="117" ht="35.25" customHeight="1">
      <c r="A117" s="14" t="s">
        <v>422</v>
      </c>
      <c r="B117" s="14" t="str">
        <f>IMAGE("https://lmztiles.s3.eu-west-1.amazonaws.com/Modern_Interiors_v41.3.4/1_Interiors/16x16/Theme_Sorter_Singles/3_Bathroom_Singles/Bathroom_Singles_117.png")</f>
        <v/>
      </c>
      <c r="C117" s="15" t="s">
        <v>423</v>
      </c>
    </row>
    <row r="118" ht="35.25" customHeight="1">
      <c r="A118" s="14" t="s">
        <v>424</v>
      </c>
      <c r="B118" s="14" t="str">
        <f>IMAGE("https://lmztiles.s3.eu-west-1.amazonaws.com/Modern_Interiors_v41.3.4/1_Interiors/16x16/Theme_Sorter_Singles/3_Bathroom_Singles/Bathroom_Singles_118.png")</f>
        <v/>
      </c>
      <c r="C118" s="15" t="s">
        <v>425</v>
      </c>
    </row>
    <row r="119" ht="35.25" customHeight="1">
      <c r="A119" s="14" t="s">
        <v>426</v>
      </c>
      <c r="B119" s="14" t="str">
        <f>IMAGE("https://lmztiles.s3.eu-west-1.amazonaws.com/Modern_Interiors_v41.3.4/1_Interiors/16x16/Theme_Sorter_Singles/3_Bathroom_Singles/Bathroom_Singles_119.png")</f>
        <v/>
      </c>
      <c r="C119" s="15" t="s">
        <v>427</v>
      </c>
    </row>
    <row r="120" ht="35.25" customHeight="1">
      <c r="A120" s="14" t="s">
        <v>428</v>
      </c>
      <c r="B120" s="14" t="str">
        <f>IMAGE("https://lmztiles.s3.eu-west-1.amazonaws.com/Modern_Interiors_v41.3.4/1_Interiors/16x16/Theme_Sorter_Singles/3_Bathroom_Singles/Bathroom_Singles_120.png")</f>
        <v/>
      </c>
      <c r="C120" s="15" t="s">
        <v>429</v>
      </c>
    </row>
    <row r="121" ht="35.25" customHeight="1">
      <c r="A121" s="14" t="s">
        <v>430</v>
      </c>
      <c r="B121" s="14" t="str">
        <f>IMAGE("https://lmztiles.s3.eu-west-1.amazonaws.com/Modern_Interiors_v41.3.4/1_Interiors/16x16/Theme_Sorter_Singles/3_Bathroom_Singles/Bathroom_Singles_121.png")</f>
        <v/>
      </c>
      <c r="C121" s="15" t="s">
        <v>431</v>
      </c>
    </row>
    <row r="122" ht="35.25" customHeight="1">
      <c r="A122" s="14" t="s">
        <v>432</v>
      </c>
      <c r="B122" s="14" t="str">
        <f>IMAGE("https://lmztiles.s3.eu-west-1.amazonaws.com/Modern_Interiors_v41.3.4/1_Interiors/16x16/Theme_Sorter_Singles/3_Bathroom_Singles/Bathroom_Singles_122.png")</f>
        <v/>
      </c>
      <c r="C122" s="15" t="s">
        <v>433</v>
      </c>
    </row>
    <row r="123" ht="35.25" customHeight="1">
      <c r="A123" s="14" t="s">
        <v>434</v>
      </c>
      <c r="B123" s="14" t="str">
        <f>IMAGE("https://lmztiles.s3.eu-west-1.amazonaws.com/Modern_Interiors_v41.3.4/1_Interiors/16x16/Theme_Sorter_Singles/3_Bathroom_Singles/Bathroom_Singles_123.png")</f>
        <v/>
      </c>
      <c r="C123" s="15" t="s">
        <v>435</v>
      </c>
    </row>
    <row r="124" ht="35.25" customHeight="1">
      <c r="A124" s="14" t="s">
        <v>436</v>
      </c>
      <c r="B124" s="14" t="str">
        <f>IMAGE("https://lmztiles.s3.eu-west-1.amazonaws.com/Modern_Interiors_v41.3.4/1_Interiors/16x16/Theme_Sorter_Singles/3_Bathroom_Singles/Bathroom_Singles_124.png")</f>
        <v/>
      </c>
      <c r="C124" s="15" t="s">
        <v>433</v>
      </c>
    </row>
    <row r="125" ht="35.25" customHeight="1">
      <c r="A125" s="14" t="s">
        <v>437</v>
      </c>
      <c r="B125" s="14" t="str">
        <f>IMAGE("https://lmztiles.s3.eu-west-1.amazonaws.com/Modern_Interiors_v41.3.4/1_Interiors/16x16/Theme_Sorter_Singles/3_Bathroom_Singles/Bathroom_Singles_125.png")</f>
        <v/>
      </c>
      <c r="C125" s="15" t="s">
        <v>435</v>
      </c>
    </row>
    <row r="126" ht="35.25" customHeight="1">
      <c r="A126" s="14" t="s">
        <v>438</v>
      </c>
      <c r="B126" s="14" t="str">
        <f>IMAGE("https://lmztiles.s3.eu-west-1.amazonaws.com/Modern_Interiors_v41.3.4/1_Interiors/16x16/Theme_Sorter_Singles/3_Bathroom_Singles/Bathroom_Singles_126.png")</f>
        <v/>
      </c>
      <c r="C126" s="15" t="s">
        <v>439</v>
      </c>
    </row>
    <row r="127" ht="35.25" customHeight="1">
      <c r="A127" s="14" t="s">
        <v>440</v>
      </c>
      <c r="B127" s="14" t="str">
        <f>IMAGE("https://lmztiles.s3.eu-west-1.amazonaws.com/Modern_Interiors_v41.3.4/1_Interiors/16x16/Theme_Sorter_Singles/3_Bathroom_Singles/Bathroom_Singles_127.png")</f>
        <v/>
      </c>
      <c r="C127" s="15" t="s">
        <v>441</v>
      </c>
    </row>
    <row r="128" ht="35.25" customHeight="1">
      <c r="A128" s="14" t="s">
        <v>442</v>
      </c>
      <c r="B128" s="14" t="str">
        <f>IMAGE("https://lmztiles.s3.eu-west-1.amazonaws.com/Modern_Interiors_v41.3.4/1_Interiors/16x16/Theme_Sorter_Singles/3_Bathroom_Singles/Bathroom_Singles_128.png")</f>
        <v/>
      </c>
      <c r="C128" s="15" t="s">
        <v>443</v>
      </c>
    </row>
    <row r="129" ht="35.25" customHeight="1">
      <c r="A129" s="14" t="s">
        <v>444</v>
      </c>
      <c r="B129" s="14" t="str">
        <f>IMAGE("https://lmztiles.s3.eu-west-1.amazonaws.com/Modern_Interiors_v41.3.4/1_Interiors/16x16/Theme_Sorter_Singles/3_Bathroom_Singles/Bathroom_Singles_129.png")</f>
        <v/>
      </c>
      <c r="C129" s="15" t="s">
        <v>445</v>
      </c>
    </row>
    <row r="130" ht="35.25" customHeight="1">
      <c r="A130" s="14" t="s">
        <v>446</v>
      </c>
      <c r="B130" s="14" t="str">
        <f>IMAGE("https://lmztiles.s3.eu-west-1.amazonaws.com/Modern_Interiors_v41.3.4/1_Interiors/16x16/Theme_Sorter_Singles/3_Bathroom_Singles/Bathroom_Singles_130.png")</f>
        <v/>
      </c>
      <c r="C130" s="15" t="s">
        <v>443</v>
      </c>
    </row>
    <row r="131" ht="35.25" customHeight="1">
      <c r="A131" s="14" t="s">
        <v>447</v>
      </c>
      <c r="B131" s="14" t="str">
        <f>IMAGE("https://lmztiles.s3.eu-west-1.amazonaws.com/Modern_Interiors_v41.3.4/1_Interiors/16x16/Theme_Sorter_Singles/3_Bathroom_Singles/Bathroom_Singles_131.png")</f>
        <v/>
      </c>
      <c r="C131" s="15" t="s">
        <v>445</v>
      </c>
    </row>
    <row r="132" ht="35.25" customHeight="1">
      <c r="A132" s="14" t="s">
        <v>448</v>
      </c>
      <c r="B132" s="14" t="str">
        <f>IMAGE("https://lmztiles.s3.eu-west-1.amazonaws.com/Modern_Interiors_v41.3.4/1_Interiors/16x16/Theme_Sorter_Singles/3_Bathroom_Singles/Bathroom_Singles_132.png")</f>
        <v/>
      </c>
      <c r="C132" s="15" t="s">
        <v>449</v>
      </c>
    </row>
    <row r="133" ht="35.25" customHeight="1">
      <c r="A133" s="14" t="s">
        <v>450</v>
      </c>
      <c r="B133" s="14" t="str">
        <f>IMAGE("https://lmztiles.s3.eu-west-1.amazonaws.com/Modern_Interiors_v41.3.4/1_Interiors/16x16/Theme_Sorter_Singles/3_Bathroom_Singles/Bathroom_Singles_133.png")</f>
        <v/>
      </c>
      <c r="C133" s="15" t="s">
        <v>451</v>
      </c>
    </row>
    <row r="134" ht="35.25" customHeight="1">
      <c r="A134" s="14" t="s">
        <v>452</v>
      </c>
      <c r="B134" s="14" t="str">
        <f>IMAGE("https://lmztiles.s3.eu-west-1.amazonaws.com/Modern_Interiors_v41.3.4/1_Interiors/16x16/Theme_Sorter_Singles/3_Bathroom_Singles/Bathroom_Singles_134.png")</f>
        <v/>
      </c>
      <c r="C134" s="15" t="s">
        <v>453</v>
      </c>
    </row>
    <row r="135" ht="35.25" customHeight="1">
      <c r="A135" s="14" t="s">
        <v>454</v>
      </c>
      <c r="B135" s="14" t="str">
        <f>IMAGE("https://lmztiles.s3.eu-west-1.amazonaws.com/Modern_Interiors_v41.3.4/1_Interiors/16x16/Theme_Sorter_Singles/3_Bathroom_Singles/Bathroom_Singles_135.png")</f>
        <v/>
      </c>
      <c r="C135" s="15" t="s">
        <v>455</v>
      </c>
    </row>
    <row r="136" ht="35.25" customHeight="1">
      <c r="A136" s="14" t="s">
        <v>456</v>
      </c>
      <c r="B136" s="14" t="str">
        <f>IMAGE("https://lmztiles.s3.eu-west-1.amazonaws.com/Modern_Interiors_v41.3.4/1_Interiors/16x16/Theme_Sorter_Singles/3_Bathroom_Singles/Bathroom_Singles_136.png")</f>
        <v/>
      </c>
      <c r="C136" s="15" t="s">
        <v>453</v>
      </c>
    </row>
    <row r="137" ht="35.25" customHeight="1">
      <c r="A137" s="14" t="s">
        <v>457</v>
      </c>
      <c r="B137" s="14" t="str">
        <f>IMAGE("https://lmztiles.s3.eu-west-1.amazonaws.com/Modern_Interiors_v41.3.4/1_Interiors/16x16/Theme_Sorter_Singles/3_Bathroom_Singles/Bathroom_Singles_137.png")</f>
        <v/>
      </c>
      <c r="C137" s="15" t="s">
        <v>455</v>
      </c>
    </row>
    <row r="138" ht="35.25" customHeight="1">
      <c r="A138" s="14" t="s">
        <v>458</v>
      </c>
      <c r="B138" s="14" t="str">
        <f>IMAGE("https://lmztiles.s3.eu-west-1.amazonaws.com/Modern_Interiors_v41.3.4/1_Interiors/16x16/Theme_Sorter_Singles/3_Bathroom_Singles/Bathroom_Singles_138.png")</f>
        <v/>
      </c>
      <c r="C138" s="15" t="s">
        <v>459</v>
      </c>
    </row>
    <row r="139" ht="35.25" customHeight="1">
      <c r="A139" s="14" t="s">
        <v>460</v>
      </c>
      <c r="B139" s="14" t="str">
        <f>IMAGE("https://lmztiles.s3.eu-west-1.amazonaws.com/Modern_Interiors_v41.3.4/1_Interiors/16x16/Theme_Sorter_Singles/3_Bathroom_Singles/Bathroom_Singles_139.png")</f>
        <v/>
      </c>
      <c r="C139" s="15" t="s">
        <v>461</v>
      </c>
    </row>
    <row r="140" ht="35.25" customHeight="1">
      <c r="A140" s="14" t="s">
        <v>462</v>
      </c>
      <c r="B140" s="14" t="str">
        <f>IMAGE("https://lmztiles.s3.eu-west-1.amazonaws.com/Modern_Interiors_v41.3.4/1_Interiors/16x16/Theme_Sorter_Singles/3_Bathroom_Singles/Bathroom_Singles_140.png")</f>
        <v/>
      </c>
      <c r="C140" s="15" t="s">
        <v>463</v>
      </c>
    </row>
    <row r="141" ht="35.25" customHeight="1">
      <c r="A141" s="14" t="s">
        <v>464</v>
      </c>
      <c r="B141" s="14" t="str">
        <f>IMAGE("https://lmztiles.s3.eu-west-1.amazonaws.com/Modern_Interiors_v41.3.4/1_Interiors/16x16/Theme_Sorter_Singles/3_Bathroom_Singles/Bathroom_Singles_141.png")</f>
        <v/>
      </c>
      <c r="C141" s="15" t="s">
        <v>465</v>
      </c>
    </row>
    <row r="142" ht="35.25" customHeight="1">
      <c r="A142" s="14" t="s">
        <v>466</v>
      </c>
      <c r="B142" s="14" t="str">
        <f>IMAGE("https://lmztiles.s3.eu-west-1.amazonaws.com/Modern_Interiors_v41.3.4/1_Interiors/16x16/Theme_Sorter_Singles/3_Bathroom_Singles/Bathroom_Singles_142.png")</f>
        <v/>
      </c>
      <c r="C142" s="15" t="s">
        <v>465</v>
      </c>
    </row>
    <row r="143" ht="35.25" customHeight="1">
      <c r="A143" s="14" t="s">
        <v>467</v>
      </c>
      <c r="B143" s="14" t="str">
        <f>IMAGE("https://lmztiles.s3.eu-west-1.amazonaws.com/Modern_Interiors_v41.3.4/1_Interiors/16x16/Theme_Sorter_Singles/3_Bathroom_Singles/Bathroom_Singles_143.png")</f>
        <v/>
      </c>
      <c r="C143" s="15" t="s">
        <v>468</v>
      </c>
    </row>
    <row r="144" ht="35.25" customHeight="1">
      <c r="A144" s="14" t="s">
        <v>469</v>
      </c>
      <c r="B144" s="14" t="str">
        <f>IMAGE("https://lmztiles.s3.eu-west-1.amazonaws.com/Modern_Interiors_v41.3.4/1_Interiors/16x16/Theme_Sorter_Singles/3_Bathroom_Singles/Bathroom_Singles_144.png")</f>
        <v/>
      </c>
      <c r="C144" s="15" t="s">
        <v>470</v>
      </c>
    </row>
    <row r="145" ht="35.25" customHeight="1">
      <c r="A145" s="14" t="s">
        <v>471</v>
      </c>
      <c r="B145" s="14" t="str">
        <f>IMAGE("https://lmztiles.s3.eu-west-1.amazonaws.com/Modern_Interiors_v41.3.4/1_Interiors/16x16/Theme_Sorter_Singles/3_Bathroom_Singles/Bathroom_Singles_145.png")</f>
        <v/>
      </c>
      <c r="C145" s="15" t="s">
        <v>472</v>
      </c>
    </row>
    <row r="146" ht="35.25" customHeight="1">
      <c r="A146" s="14" t="s">
        <v>473</v>
      </c>
      <c r="B146" s="14" t="str">
        <f>IMAGE("https://lmztiles.s3.eu-west-1.amazonaws.com/Modern_Interiors_v41.3.4/1_Interiors/16x16/Theme_Sorter_Singles/3_Bathroom_Singles/Bathroom_Singles_146.png")</f>
        <v/>
      </c>
      <c r="C146" s="15" t="s">
        <v>474</v>
      </c>
    </row>
    <row r="147" ht="35.25" customHeight="1">
      <c r="A147" s="14" t="s">
        <v>475</v>
      </c>
      <c r="B147" s="14" t="str">
        <f>IMAGE("https://lmztiles.s3.eu-west-1.amazonaws.com/Modern_Interiors_v41.3.4/1_Interiors/16x16/Theme_Sorter_Singles/3_Bathroom_Singles/Bathroom_Singles_147.png")</f>
        <v/>
      </c>
      <c r="C147" s="15" t="s">
        <v>476</v>
      </c>
    </row>
    <row r="148" ht="35.25" customHeight="1">
      <c r="A148" s="14" t="s">
        <v>477</v>
      </c>
      <c r="B148" s="14" t="str">
        <f>IMAGE("https://lmztiles.s3.eu-west-1.amazonaws.com/Modern_Interiors_v41.3.4/1_Interiors/16x16/Theme_Sorter_Singles/3_Bathroom_Singles/Bathroom_Singles_148.png")</f>
        <v/>
      </c>
      <c r="C148" s="15" t="s">
        <v>465</v>
      </c>
    </row>
    <row r="149" ht="35.25" customHeight="1">
      <c r="A149" s="14" t="s">
        <v>478</v>
      </c>
      <c r="B149" s="14" t="str">
        <f>IMAGE("https://lmztiles.s3.eu-west-1.amazonaws.com/Modern_Interiors_v41.3.4/1_Interiors/16x16/Theme_Sorter_Singles/3_Bathroom_Singles/Bathroom_Singles_149.png")</f>
        <v/>
      </c>
      <c r="C149" s="15" t="s">
        <v>465</v>
      </c>
    </row>
    <row r="150" ht="35.25" customHeight="1">
      <c r="A150" s="14" t="s">
        <v>479</v>
      </c>
      <c r="B150" s="14" t="str">
        <f>IMAGE("https://lmztiles.s3.eu-west-1.amazonaws.com/Modern_Interiors_v41.3.4/1_Interiors/16x16/Theme_Sorter_Singles/3_Bathroom_Singles/Bathroom_Singles_150.png")</f>
        <v/>
      </c>
      <c r="C150" s="15" t="s">
        <v>465</v>
      </c>
    </row>
    <row r="151" ht="35.25" customHeight="1">
      <c r="A151" s="14" t="s">
        <v>480</v>
      </c>
      <c r="B151" s="14" t="str">
        <f>IMAGE("https://lmztiles.s3.eu-west-1.amazonaws.com/Modern_Interiors_v41.3.4/1_Interiors/16x16/Theme_Sorter_Singles/3_Bathroom_Singles/Bathroom_Singles_151.png")</f>
        <v/>
      </c>
      <c r="C151" s="15" t="s">
        <v>481</v>
      </c>
    </row>
    <row r="152" ht="35.25" customHeight="1">
      <c r="A152" s="14" t="s">
        <v>482</v>
      </c>
      <c r="B152" s="14" t="str">
        <f>IMAGE("https://lmztiles.s3.eu-west-1.amazonaws.com/Modern_Interiors_v41.3.4/1_Interiors/16x16/Theme_Sorter_Singles/3_Bathroom_Singles/Bathroom_Singles_152.png")</f>
        <v/>
      </c>
      <c r="C152" s="15" t="s">
        <v>483</v>
      </c>
    </row>
    <row r="153" ht="35.25" customHeight="1">
      <c r="A153" s="14" t="s">
        <v>484</v>
      </c>
      <c r="B153" s="14" t="str">
        <f>IMAGE("https://lmztiles.s3.eu-west-1.amazonaws.com/Modern_Interiors_v41.3.4/1_Interiors/16x16/Theme_Sorter_Singles/3_Bathroom_Singles/Bathroom_Singles_153.png")</f>
        <v/>
      </c>
      <c r="C153" s="15" t="s">
        <v>481</v>
      </c>
    </row>
    <row r="154" ht="35.25" customHeight="1">
      <c r="A154" s="14" t="s">
        <v>485</v>
      </c>
      <c r="B154" s="14" t="str">
        <f>IMAGE("https://lmztiles.s3.eu-west-1.amazonaws.com/Modern_Interiors_v41.3.4/1_Interiors/16x16/Theme_Sorter_Singles/3_Bathroom_Singles/Bathroom_Singles_154.png")</f>
        <v/>
      </c>
      <c r="C154" s="15" t="s">
        <v>483</v>
      </c>
    </row>
    <row r="155" ht="35.25" customHeight="1">
      <c r="A155" s="14" t="s">
        <v>486</v>
      </c>
      <c r="B155" s="14" t="str">
        <f>IMAGE("https://lmztiles.s3.eu-west-1.amazonaws.com/Modern_Interiors_v41.3.4/1_Interiors/16x16/Theme_Sorter_Singles/3_Bathroom_Singles/Bathroom_Singles_155.png")</f>
        <v/>
      </c>
      <c r="C155" s="15" t="s">
        <v>487</v>
      </c>
    </row>
    <row r="156" ht="35.25" customHeight="1">
      <c r="A156" s="14" t="s">
        <v>488</v>
      </c>
      <c r="B156" s="14" t="str">
        <f>IMAGE("https://lmztiles.s3.eu-west-1.amazonaws.com/Modern_Interiors_v41.3.4/1_Interiors/16x16/Theme_Sorter_Singles/3_Bathroom_Singles/Bathroom_Singles_156.png")</f>
        <v/>
      </c>
      <c r="C156" s="15" t="s">
        <v>489</v>
      </c>
    </row>
    <row r="157" ht="35.25" customHeight="1">
      <c r="A157" s="14" t="s">
        <v>490</v>
      </c>
      <c r="B157" s="14" t="str">
        <f>IMAGE("https://lmztiles.s3.eu-west-1.amazonaws.com/Modern_Interiors_v41.3.4/1_Interiors/16x16/Theme_Sorter_Singles/3_Bathroom_Singles/Bathroom_Singles_157.png")</f>
        <v/>
      </c>
      <c r="C157" s="15" t="s">
        <v>489</v>
      </c>
    </row>
    <row r="158" ht="35.25" customHeight="1">
      <c r="A158" s="14" t="s">
        <v>491</v>
      </c>
      <c r="B158" s="14" t="str">
        <f>IMAGE("https://lmztiles.s3.eu-west-1.amazonaws.com/Modern_Interiors_v41.3.4/1_Interiors/16x16/Theme_Sorter_Singles/3_Bathroom_Singles/Bathroom_Singles_158.png")</f>
        <v/>
      </c>
      <c r="C158" s="15" t="s">
        <v>489</v>
      </c>
    </row>
    <row r="159" ht="35.25" customHeight="1">
      <c r="A159" s="14" t="s">
        <v>492</v>
      </c>
      <c r="B159" s="14" t="str">
        <f>IMAGE("https://lmztiles.s3.eu-west-1.amazonaws.com/Modern_Interiors_v41.3.4/1_Interiors/16x16/Theme_Sorter_Singles/3_Bathroom_Singles/Bathroom_Singles_159.png")</f>
        <v/>
      </c>
      <c r="C159" s="15" t="s">
        <v>493</v>
      </c>
    </row>
    <row r="160" ht="35.25" customHeight="1">
      <c r="A160" s="14"/>
      <c r="B160" s="14"/>
      <c r="C160" s="14"/>
    </row>
    <row r="161" ht="35.25" customHeight="1">
      <c r="A161" s="14"/>
      <c r="B161" s="14"/>
      <c r="C161" s="14"/>
    </row>
    <row r="162" ht="35.25" customHeight="1">
      <c r="A162" s="14"/>
      <c r="B162" s="14"/>
      <c r="C162" s="14"/>
    </row>
    <row r="163" ht="35.25" customHeight="1">
      <c r="A163" s="14"/>
      <c r="B163" s="14"/>
      <c r="C163" s="14"/>
    </row>
    <row r="164" ht="35.25" customHeight="1">
      <c r="A164" s="14"/>
      <c r="B164" s="14"/>
      <c r="C164" s="14"/>
    </row>
    <row r="165" ht="35.25" customHeight="1">
      <c r="A165" s="14"/>
      <c r="B165" s="14"/>
      <c r="C165" s="14"/>
    </row>
    <row r="166" ht="35.25" customHeight="1">
      <c r="A166" s="14"/>
      <c r="B166" s="14"/>
      <c r="C166" s="14"/>
    </row>
    <row r="167" ht="35.25" customHeight="1">
      <c r="A167" s="14"/>
      <c r="B167" s="14"/>
      <c r="C167" s="14"/>
    </row>
    <row r="168" ht="35.25" customHeight="1">
      <c r="A168" s="14"/>
      <c r="B168" s="14"/>
      <c r="C168" s="14"/>
    </row>
    <row r="169" ht="35.25" customHeight="1">
      <c r="A169" s="14"/>
      <c r="B169" s="14"/>
      <c r="C169" s="14"/>
    </row>
    <row r="170" ht="35.25" customHeight="1">
      <c r="A170" s="14"/>
      <c r="B170" s="14"/>
      <c r="C170" s="14"/>
    </row>
    <row r="171" ht="35.25" customHeight="1">
      <c r="A171" s="14"/>
      <c r="B171" s="14"/>
      <c r="C171" s="14"/>
    </row>
    <row r="172" ht="35.25" customHeight="1">
      <c r="A172" s="14"/>
      <c r="B172" s="14"/>
      <c r="C172" s="14"/>
    </row>
    <row r="173" ht="35.25" customHeight="1">
      <c r="A173" s="14"/>
      <c r="B173" s="14"/>
      <c r="C173" s="14"/>
    </row>
    <row r="174" ht="35.25" customHeight="1">
      <c r="A174" s="14"/>
      <c r="B174" s="14"/>
      <c r="C174" s="14"/>
    </row>
    <row r="175" ht="35.25" customHeight="1">
      <c r="A175" s="14"/>
      <c r="B175" s="14"/>
      <c r="C175" s="14"/>
    </row>
    <row r="176" ht="35.25" customHeight="1">
      <c r="A176" s="14"/>
      <c r="B176" s="14"/>
      <c r="C176" s="14"/>
    </row>
    <row r="177" ht="35.25" customHeight="1">
      <c r="A177" s="14"/>
      <c r="B177" s="14"/>
      <c r="C177" s="14"/>
    </row>
    <row r="178" ht="35.25" customHeight="1">
      <c r="A178" s="14"/>
      <c r="B178" s="14"/>
      <c r="C178" s="14"/>
    </row>
    <row r="179" ht="35.25" customHeight="1">
      <c r="A179" s="14"/>
      <c r="B179" s="14"/>
      <c r="C179" s="14"/>
    </row>
    <row r="180" ht="35.25" customHeight="1">
      <c r="A180" s="14"/>
      <c r="B180" s="14"/>
      <c r="C180" s="14"/>
    </row>
    <row r="181" ht="35.25" customHeight="1">
      <c r="A181" s="14"/>
      <c r="B181" s="14"/>
      <c r="C181" s="14"/>
    </row>
    <row r="182" ht="35.25" customHeight="1">
      <c r="A182" s="14"/>
      <c r="B182" s="14"/>
      <c r="C182" s="14"/>
    </row>
    <row r="183" ht="35.25" customHeight="1">
      <c r="A183" s="14"/>
      <c r="B183" s="14"/>
      <c r="C183" s="14"/>
    </row>
    <row r="184" ht="35.25" customHeight="1">
      <c r="A184" s="14"/>
      <c r="B184" s="14"/>
      <c r="C184" s="14"/>
    </row>
    <row r="185" ht="35.25" customHeight="1">
      <c r="A185" s="14"/>
      <c r="B185" s="14"/>
      <c r="C185" s="14"/>
    </row>
    <row r="186" ht="35.25" customHeight="1">
      <c r="A186" s="14"/>
      <c r="B186" s="14"/>
      <c r="C186" s="14"/>
    </row>
    <row r="187" ht="35.25" customHeight="1">
      <c r="A187" s="14"/>
      <c r="B187" s="14"/>
      <c r="C187" s="14"/>
    </row>
    <row r="188" ht="35.25" customHeight="1">
      <c r="A188" s="14"/>
      <c r="B188" s="14"/>
      <c r="C188" s="14"/>
    </row>
    <row r="189" ht="35.25" customHeight="1">
      <c r="A189" s="14"/>
      <c r="B189" s="14"/>
      <c r="C189" s="14"/>
    </row>
    <row r="190" ht="35.25" customHeight="1">
      <c r="A190" s="14"/>
      <c r="B190" s="14"/>
      <c r="C190" s="14"/>
    </row>
    <row r="191" ht="35.25" customHeight="1">
      <c r="A191" s="14"/>
      <c r="B191" s="14"/>
      <c r="C191" s="14"/>
    </row>
    <row r="192" ht="35.25" customHeight="1">
      <c r="A192" s="14"/>
      <c r="B192" s="14"/>
      <c r="C192" s="14"/>
    </row>
    <row r="193" ht="35.25" customHeight="1">
      <c r="A193" s="14"/>
      <c r="B193" s="14"/>
      <c r="C193" s="14"/>
    </row>
    <row r="194" ht="35.25" customHeight="1">
      <c r="A194" s="14"/>
      <c r="B194" s="14"/>
      <c r="C194" s="14"/>
    </row>
    <row r="195" ht="35.25" customHeight="1">
      <c r="A195" s="14"/>
      <c r="B195" s="14"/>
      <c r="C195" s="14"/>
    </row>
    <row r="196" ht="35.25" customHeight="1">
      <c r="A196" s="14"/>
      <c r="B196" s="14"/>
      <c r="C196" s="14"/>
    </row>
    <row r="197" ht="35.25" customHeight="1">
      <c r="A197" s="14"/>
      <c r="B197" s="14"/>
      <c r="C197" s="14"/>
    </row>
    <row r="198" ht="35.25" customHeight="1">
      <c r="A198" s="14"/>
      <c r="B198" s="14"/>
      <c r="C198" s="14"/>
    </row>
    <row r="199" ht="35.25" customHeight="1">
      <c r="A199" s="14"/>
      <c r="B199" s="14"/>
      <c r="C199" s="14"/>
    </row>
    <row r="200" ht="35.25" customHeight="1">
      <c r="A200" s="14"/>
      <c r="B200" s="14"/>
      <c r="C200" s="14"/>
    </row>
    <row r="201" ht="35.25" customHeight="1">
      <c r="A201" s="14"/>
      <c r="B201" s="14"/>
      <c r="C201" s="14"/>
    </row>
    <row r="202" ht="35.25" customHeight="1">
      <c r="A202" s="14"/>
      <c r="B202" s="14"/>
      <c r="C202" s="14"/>
    </row>
    <row r="203" ht="35.25" customHeight="1">
      <c r="A203" s="14"/>
      <c r="B203" s="14"/>
      <c r="C203" s="14"/>
    </row>
    <row r="204" ht="35.25" customHeight="1">
      <c r="A204" s="14"/>
      <c r="B204" s="14"/>
      <c r="C204" s="14"/>
    </row>
    <row r="205" ht="35.25" customHeight="1">
      <c r="A205" s="14"/>
      <c r="B205" s="14"/>
      <c r="C205" s="14"/>
    </row>
    <row r="206" ht="35.25" customHeight="1">
      <c r="A206" s="14"/>
      <c r="B206" s="14"/>
      <c r="C206" s="14"/>
    </row>
    <row r="207" ht="35.25" customHeight="1">
      <c r="A207" s="14"/>
      <c r="B207" s="14"/>
      <c r="C207" s="14"/>
    </row>
    <row r="208" ht="35.25" customHeight="1">
      <c r="A208" s="14"/>
      <c r="B208" s="14"/>
      <c r="C208" s="14"/>
    </row>
    <row r="209" ht="35.25" customHeight="1">
      <c r="A209" s="14"/>
      <c r="B209" s="14"/>
      <c r="C209" s="14"/>
    </row>
    <row r="210" ht="35.25" customHeight="1">
      <c r="A210" s="14"/>
      <c r="B210" s="14"/>
      <c r="C210" s="14"/>
    </row>
    <row r="211" ht="35.25" customHeight="1">
      <c r="A211" s="14"/>
      <c r="B211" s="14"/>
      <c r="C211" s="14"/>
    </row>
    <row r="212" ht="35.25" customHeight="1">
      <c r="A212" s="14"/>
      <c r="B212" s="14"/>
      <c r="C212" s="14"/>
    </row>
    <row r="213" ht="35.25" customHeight="1">
      <c r="A213" s="14"/>
      <c r="B213" s="14"/>
      <c r="C213" s="14"/>
    </row>
    <row r="214" ht="35.25" customHeight="1">
      <c r="A214" s="14"/>
      <c r="B214" s="14"/>
      <c r="C214" s="14"/>
    </row>
    <row r="215" ht="35.25" customHeight="1">
      <c r="A215" s="14"/>
      <c r="B215" s="14"/>
      <c r="C215" s="14"/>
    </row>
    <row r="216" ht="35.25" customHeight="1">
      <c r="A216" s="14"/>
      <c r="B216" s="14"/>
      <c r="C216" s="14"/>
    </row>
    <row r="217" ht="35.25" customHeight="1">
      <c r="A217" s="14"/>
      <c r="B217" s="14"/>
      <c r="C217" s="14"/>
    </row>
    <row r="218" ht="35.25" customHeight="1">
      <c r="A218" s="14"/>
      <c r="B218" s="14"/>
      <c r="C218" s="14"/>
    </row>
    <row r="219" ht="35.25" customHeight="1">
      <c r="A219" s="14"/>
      <c r="B219" s="14"/>
      <c r="C219" s="14"/>
    </row>
    <row r="220" ht="35.25" customHeight="1">
      <c r="A220" s="14"/>
      <c r="B220" s="14"/>
      <c r="C220" s="14"/>
    </row>
    <row r="221" ht="35.25" customHeight="1">
      <c r="A221" s="14"/>
      <c r="B221" s="14"/>
      <c r="C221" s="14"/>
    </row>
    <row r="222" ht="35.25" customHeight="1">
      <c r="A222" s="14"/>
      <c r="B222" s="14"/>
      <c r="C222" s="14"/>
    </row>
    <row r="223" ht="35.25" customHeight="1">
      <c r="A223" s="14"/>
      <c r="B223" s="14"/>
      <c r="C223" s="14"/>
    </row>
    <row r="224" ht="35.25" customHeight="1">
      <c r="A224" s="14"/>
      <c r="B224" s="14"/>
      <c r="C224" s="14"/>
    </row>
    <row r="225" ht="35.25" customHeight="1">
      <c r="A225" s="14"/>
      <c r="B225" s="14"/>
      <c r="C225" s="14"/>
    </row>
    <row r="226" ht="35.25" customHeight="1">
      <c r="A226" s="14"/>
      <c r="B226" s="14"/>
      <c r="C226" s="14"/>
    </row>
    <row r="227" ht="35.25" customHeight="1">
      <c r="A227" s="14"/>
      <c r="B227" s="14"/>
      <c r="C227" s="14"/>
    </row>
    <row r="228" ht="35.25" customHeight="1">
      <c r="A228" s="14"/>
      <c r="B228" s="14"/>
      <c r="C228" s="14"/>
    </row>
    <row r="229" ht="35.25" customHeight="1">
      <c r="A229" s="14"/>
      <c r="B229" s="14"/>
      <c r="C229" s="14"/>
    </row>
    <row r="230" ht="35.25" customHeight="1">
      <c r="A230" s="14"/>
      <c r="B230" s="14"/>
      <c r="C230" s="14"/>
    </row>
    <row r="231" ht="35.25" customHeight="1">
      <c r="A231" s="14"/>
      <c r="B231" s="14"/>
      <c r="C231" s="14"/>
    </row>
    <row r="232" ht="35.25" customHeight="1">
      <c r="A232" s="14"/>
      <c r="B232" s="14"/>
      <c r="C232" s="14"/>
    </row>
    <row r="233" ht="35.25" customHeight="1">
      <c r="A233" s="14"/>
      <c r="B233" s="14"/>
      <c r="C233" s="14"/>
    </row>
    <row r="234" ht="35.25" customHeight="1">
      <c r="A234" s="14"/>
      <c r="B234" s="14"/>
      <c r="C234" s="14"/>
    </row>
    <row r="235" ht="35.25" customHeight="1">
      <c r="A235" s="14"/>
      <c r="B235" s="14"/>
      <c r="C235" s="14"/>
    </row>
    <row r="236" ht="35.25" customHeight="1">
      <c r="A236" s="14"/>
      <c r="B236" s="14"/>
      <c r="C236" s="14"/>
    </row>
    <row r="237" ht="35.25" customHeight="1">
      <c r="A237" s="14"/>
      <c r="B237" s="14"/>
      <c r="C237" s="14"/>
    </row>
    <row r="238" ht="35.25" customHeight="1">
      <c r="A238" s="14"/>
      <c r="B238" s="14"/>
      <c r="C238" s="14"/>
    </row>
    <row r="239" ht="35.25" customHeight="1">
      <c r="A239" s="14"/>
      <c r="B239" s="14"/>
      <c r="C239" s="14"/>
    </row>
    <row r="240" ht="35.25" customHeight="1">
      <c r="A240" s="14"/>
      <c r="B240" s="14"/>
      <c r="C240" s="14"/>
    </row>
    <row r="241" ht="35.25" customHeight="1">
      <c r="A241" s="14"/>
      <c r="B241" s="14"/>
      <c r="C241" s="14"/>
    </row>
    <row r="242" ht="35.25" customHeight="1">
      <c r="A242" s="14"/>
      <c r="B242" s="14"/>
      <c r="C242" s="14"/>
    </row>
    <row r="243" ht="35.25" customHeight="1">
      <c r="A243" s="14"/>
      <c r="B243" s="14"/>
      <c r="C243" s="14"/>
    </row>
    <row r="244" ht="35.25" customHeight="1">
      <c r="A244" s="14"/>
      <c r="B244" s="14"/>
      <c r="C244" s="14"/>
    </row>
    <row r="245" ht="35.25" customHeight="1">
      <c r="A245" s="14"/>
      <c r="B245" s="14"/>
      <c r="C245" s="14"/>
    </row>
    <row r="246" ht="35.25" customHeight="1">
      <c r="A246" s="14"/>
      <c r="B246" s="14"/>
      <c r="C246" s="14"/>
    </row>
    <row r="247" ht="35.25" customHeight="1">
      <c r="A247" s="14"/>
      <c r="B247" s="14"/>
      <c r="C247" s="14"/>
    </row>
    <row r="248" ht="35.25" customHeight="1">
      <c r="A248" s="14"/>
      <c r="B248" s="14"/>
      <c r="C248" s="14"/>
    </row>
    <row r="249" ht="35.25" customHeight="1">
      <c r="A249" s="14"/>
      <c r="B249" s="14"/>
      <c r="C249" s="14"/>
    </row>
    <row r="250" ht="35.25" customHeight="1">
      <c r="A250" s="14"/>
      <c r="B250" s="14"/>
      <c r="C250" s="14"/>
    </row>
    <row r="251" ht="35.25" customHeight="1">
      <c r="A251" s="14"/>
      <c r="B251" s="14"/>
      <c r="C251" s="14"/>
    </row>
    <row r="252" ht="35.25" customHeight="1">
      <c r="A252" s="14"/>
      <c r="B252" s="14"/>
      <c r="C252" s="14"/>
    </row>
    <row r="253" ht="35.25" customHeight="1">
      <c r="A253" s="14"/>
      <c r="B253" s="14"/>
      <c r="C253" s="14"/>
    </row>
    <row r="254" ht="35.25" customHeight="1">
      <c r="A254" s="14"/>
      <c r="B254" s="14"/>
      <c r="C254" s="14"/>
    </row>
    <row r="255" ht="35.25" customHeight="1">
      <c r="A255" s="14"/>
      <c r="B255" s="14"/>
      <c r="C255" s="14"/>
    </row>
    <row r="256" ht="35.25" customHeight="1">
      <c r="A256" s="14"/>
      <c r="B256" s="14"/>
      <c r="C256" s="14"/>
    </row>
    <row r="257" ht="35.25" customHeight="1">
      <c r="A257" s="14"/>
      <c r="B257" s="14"/>
      <c r="C257" s="14"/>
    </row>
    <row r="258" ht="35.25" customHeight="1">
      <c r="A258" s="14"/>
      <c r="B258" s="14"/>
      <c r="C258" s="14"/>
    </row>
    <row r="259" ht="35.25" customHeight="1">
      <c r="A259" s="14"/>
      <c r="B259" s="14"/>
      <c r="C259" s="14"/>
    </row>
    <row r="260" ht="35.25" customHeight="1">
      <c r="A260" s="14"/>
      <c r="B260" s="14"/>
      <c r="C260" s="14"/>
    </row>
    <row r="261" ht="35.25" customHeight="1">
      <c r="A261" s="14"/>
      <c r="B261" s="14"/>
      <c r="C261" s="14"/>
    </row>
    <row r="262" ht="35.25" customHeight="1">
      <c r="A262" s="14"/>
      <c r="B262" s="14"/>
      <c r="C262" s="14"/>
    </row>
    <row r="263" ht="35.25" customHeight="1">
      <c r="A263" s="14"/>
      <c r="B263" s="14"/>
      <c r="C263" s="14"/>
    </row>
    <row r="264" ht="35.25" customHeight="1">
      <c r="A264" s="14"/>
      <c r="B264" s="14"/>
      <c r="C264" s="14"/>
    </row>
    <row r="265" ht="35.25" customHeight="1">
      <c r="A265" s="14"/>
      <c r="B265" s="14"/>
      <c r="C265" s="14"/>
    </row>
    <row r="266" ht="35.25" customHeight="1">
      <c r="A266" s="14"/>
      <c r="B266" s="14"/>
      <c r="C266" s="14"/>
    </row>
    <row r="267" ht="35.25" customHeight="1">
      <c r="A267" s="14"/>
      <c r="B267" s="14"/>
      <c r="C267" s="14"/>
    </row>
    <row r="268" ht="35.25" customHeight="1">
      <c r="A268" s="14"/>
      <c r="B268" s="14"/>
      <c r="C268" s="14"/>
    </row>
    <row r="269" ht="35.25" customHeight="1">
      <c r="A269" s="14"/>
      <c r="B269" s="14"/>
      <c r="C269" s="14"/>
    </row>
    <row r="270" ht="35.25" customHeight="1">
      <c r="A270" s="14"/>
      <c r="B270" s="14"/>
      <c r="C270" s="14"/>
    </row>
    <row r="271" ht="35.25" customHeight="1">
      <c r="A271" s="14"/>
      <c r="B271" s="14"/>
      <c r="C271" s="14"/>
    </row>
    <row r="272" ht="35.25" customHeight="1">
      <c r="A272" s="14"/>
      <c r="B272" s="14"/>
      <c r="C272" s="14"/>
    </row>
    <row r="273" ht="35.25" customHeight="1">
      <c r="A273" s="14"/>
      <c r="B273" s="14"/>
      <c r="C273" s="14"/>
    </row>
    <row r="274" ht="35.25" customHeight="1">
      <c r="A274" s="14"/>
      <c r="B274" s="14"/>
      <c r="C274" s="14"/>
    </row>
    <row r="275" ht="35.25" customHeight="1">
      <c r="A275" s="14"/>
      <c r="B275" s="14"/>
      <c r="C275" s="14"/>
    </row>
    <row r="276" ht="35.25" customHeight="1">
      <c r="A276" s="14"/>
      <c r="B276" s="14"/>
      <c r="C276" s="14"/>
    </row>
    <row r="277" ht="35.25" customHeight="1">
      <c r="A277" s="14"/>
      <c r="B277" s="14"/>
      <c r="C277" s="14"/>
    </row>
    <row r="278" ht="35.25" customHeight="1">
      <c r="A278" s="14"/>
      <c r="B278" s="14"/>
      <c r="C278" s="14"/>
    </row>
    <row r="279" ht="35.25" customHeight="1">
      <c r="A279" s="14"/>
      <c r="B279" s="14"/>
      <c r="C279" s="14"/>
    </row>
    <row r="280" ht="35.25" customHeight="1">
      <c r="A280" s="14"/>
      <c r="B280" s="14"/>
      <c r="C280" s="14"/>
    </row>
    <row r="281" ht="35.25" customHeight="1">
      <c r="A281" s="14"/>
      <c r="B281" s="14"/>
      <c r="C281" s="14"/>
    </row>
    <row r="282" ht="35.25" customHeight="1">
      <c r="A282" s="14"/>
      <c r="B282" s="14"/>
      <c r="C282" s="14"/>
    </row>
    <row r="283" ht="35.25" customHeight="1">
      <c r="A283" s="14"/>
      <c r="B283" s="14"/>
      <c r="C283" s="14"/>
    </row>
    <row r="284" ht="35.25" customHeight="1">
      <c r="A284" s="14"/>
      <c r="B284" s="14"/>
      <c r="C284" s="14"/>
    </row>
    <row r="285" ht="35.25" customHeight="1">
      <c r="A285" s="14"/>
      <c r="B285" s="14"/>
      <c r="C285" s="14"/>
    </row>
    <row r="286" ht="35.25" customHeight="1">
      <c r="A286" s="14"/>
      <c r="B286" s="14"/>
      <c r="C286" s="14"/>
    </row>
    <row r="287" ht="35.25" customHeight="1">
      <c r="A287" s="14"/>
      <c r="B287" s="14"/>
      <c r="C287" s="14"/>
    </row>
    <row r="288" ht="35.25" customHeight="1">
      <c r="A288" s="14"/>
      <c r="B288" s="14"/>
      <c r="C288" s="14"/>
    </row>
    <row r="289" ht="35.25" customHeight="1">
      <c r="A289" s="14"/>
      <c r="B289" s="14"/>
      <c r="C289" s="14"/>
    </row>
    <row r="290" ht="35.25" customHeight="1">
      <c r="A290" s="14"/>
      <c r="B290" s="14"/>
      <c r="C290" s="14"/>
    </row>
    <row r="291" ht="35.25" customHeight="1">
      <c r="A291" s="14"/>
      <c r="B291" s="14"/>
      <c r="C291" s="14"/>
    </row>
    <row r="292" ht="35.25" customHeight="1">
      <c r="A292" s="14"/>
      <c r="B292" s="14"/>
      <c r="C292" s="14"/>
    </row>
    <row r="293" ht="35.25" customHeight="1">
      <c r="A293" s="14"/>
      <c r="B293" s="14"/>
      <c r="C293" s="14"/>
    </row>
    <row r="294" ht="35.25" customHeight="1">
      <c r="A294" s="14"/>
      <c r="B294" s="14"/>
      <c r="C294" s="14"/>
    </row>
    <row r="295" ht="35.25" customHeight="1">
      <c r="A295" s="14"/>
      <c r="B295" s="14"/>
      <c r="C295" s="14"/>
    </row>
    <row r="296" ht="35.25" customHeight="1">
      <c r="A296" s="14"/>
      <c r="B296" s="14"/>
      <c r="C296" s="14"/>
    </row>
    <row r="297" ht="35.25" customHeight="1">
      <c r="A297" s="14"/>
      <c r="B297" s="14"/>
      <c r="C297" s="14"/>
    </row>
    <row r="298" ht="35.25" customHeight="1">
      <c r="A298" s="14"/>
      <c r="B298" s="14"/>
      <c r="C298" s="14"/>
    </row>
    <row r="299" ht="35.25" customHeight="1">
      <c r="A299" s="14"/>
      <c r="B299" s="14"/>
      <c r="C299" s="14"/>
    </row>
    <row r="300" ht="35.25" customHeight="1">
      <c r="A300" s="14"/>
      <c r="B300" s="14"/>
      <c r="C300" s="14"/>
    </row>
    <row r="301" ht="35.25" customHeight="1">
      <c r="A301" s="14"/>
      <c r="B301" s="14"/>
      <c r="C301" s="14"/>
    </row>
    <row r="302" ht="35.25" customHeight="1">
      <c r="A302" s="14"/>
      <c r="B302" s="14"/>
      <c r="C302" s="14"/>
    </row>
    <row r="303" ht="35.25" customHeight="1">
      <c r="A303" s="14"/>
      <c r="B303" s="14"/>
      <c r="C303" s="14"/>
    </row>
    <row r="304" ht="35.25" customHeight="1">
      <c r="A304" s="14"/>
      <c r="B304" s="14"/>
      <c r="C304" s="14"/>
    </row>
    <row r="305" ht="35.25" customHeight="1">
      <c r="A305" s="14"/>
      <c r="B305" s="14"/>
      <c r="C305" s="14"/>
    </row>
    <row r="306" ht="35.25" customHeight="1">
      <c r="A306" s="14"/>
      <c r="B306" s="14"/>
      <c r="C306" s="14"/>
    </row>
    <row r="307" ht="35.25" customHeight="1">
      <c r="A307" s="14"/>
      <c r="B307" s="14"/>
      <c r="C307" s="14"/>
    </row>
    <row r="308" ht="35.25" customHeight="1">
      <c r="A308" s="14"/>
      <c r="B308" s="14"/>
      <c r="C308" s="14"/>
    </row>
    <row r="309" ht="35.25" customHeight="1">
      <c r="A309" s="14"/>
      <c r="B309" s="14"/>
      <c r="C309" s="14"/>
    </row>
    <row r="310" ht="35.25" customHeight="1">
      <c r="A310" s="14"/>
      <c r="B310" s="14"/>
      <c r="C310" s="14"/>
    </row>
    <row r="311" ht="35.25" customHeight="1">
      <c r="A311" s="14"/>
      <c r="B311" s="14"/>
      <c r="C311" s="14"/>
    </row>
    <row r="312" ht="35.25" customHeight="1">
      <c r="A312" s="14"/>
      <c r="B312" s="14"/>
      <c r="C312" s="14"/>
    </row>
    <row r="313" ht="35.25" customHeight="1">
      <c r="A313" s="14"/>
      <c r="B313" s="14"/>
      <c r="C313" s="14"/>
    </row>
    <row r="314" ht="35.25" customHeight="1">
      <c r="A314" s="14"/>
      <c r="B314" s="14"/>
      <c r="C314" s="14"/>
    </row>
    <row r="315" ht="35.25" customHeight="1">
      <c r="A315" s="14"/>
      <c r="B315" s="14"/>
      <c r="C315" s="14"/>
    </row>
    <row r="316" ht="35.25" customHeight="1">
      <c r="A316" s="14"/>
      <c r="B316" s="14"/>
      <c r="C316" s="14"/>
    </row>
    <row r="317" ht="35.25" customHeight="1">
      <c r="A317" s="14"/>
      <c r="B317" s="14"/>
      <c r="C317" s="14"/>
    </row>
    <row r="318" ht="35.25" customHeight="1">
      <c r="A318" s="14"/>
      <c r="B318" s="14"/>
      <c r="C318" s="14"/>
    </row>
    <row r="319" ht="35.25" customHeight="1">
      <c r="A319" s="14"/>
      <c r="B319" s="14"/>
      <c r="C319" s="14"/>
    </row>
    <row r="320" ht="35.25" customHeight="1">
      <c r="A320" s="14"/>
      <c r="B320" s="14"/>
      <c r="C320" s="14"/>
    </row>
    <row r="321" ht="35.25" customHeight="1">
      <c r="A321" s="14"/>
      <c r="B321" s="14"/>
      <c r="C321" s="14"/>
    </row>
    <row r="322" ht="35.25" customHeight="1">
      <c r="A322" s="14"/>
      <c r="B322" s="14"/>
      <c r="C322" s="14"/>
    </row>
    <row r="323" ht="35.25" customHeight="1">
      <c r="A323" s="14"/>
      <c r="B323" s="14"/>
      <c r="C323" s="14"/>
    </row>
    <row r="324" ht="35.25" customHeight="1">
      <c r="A324" s="14"/>
      <c r="B324" s="14"/>
      <c r="C324" s="14"/>
    </row>
    <row r="325" ht="35.25" customHeight="1">
      <c r="A325" s="14"/>
      <c r="B325" s="14"/>
      <c r="C325" s="14"/>
    </row>
    <row r="326" ht="35.25" customHeight="1">
      <c r="A326" s="14"/>
      <c r="B326" s="14"/>
      <c r="C326" s="14"/>
    </row>
    <row r="327" ht="35.25" customHeight="1">
      <c r="A327" s="14"/>
      <c r="B327" s="14"/>
      <c r="C327" s="14"/>
    </row>
    <row r="328" ht="35.25" customHeight="1">
      <c r="A328" s="14"/>
      <c r="B328" s="14"/>
      <c r="C328" s="14"/>
    </row>
    <row r="329" ht="35.25" customHeight="1">
      <c r="A329" s="14"/>
      <c r="B329" s="14"/>
      <c r="C329" s="14"/>
    </row>
    <row r="330" ht="35.25" customHeight="1">
      <c r="A330" s="14"/>
      <c r="B330" s="14"/>
      <c r="C330" s="14"/>
    </row>
    <row r="331" ht="35.25" customHeight="1">
      <c r="A331" s="14"/>
      <c r="B331" s="14"/>
      <c r="C331" s="14"/>
    </row>
    <row r="332" ht="35.25" customHeight="1">
      <c r="A332" s="14"/>
      <c r="B332" s="14"/>
      <c r="C332" s="14"/>
    </row>
    <row r="333" ht="35.25" customHeight="1">
      <c r="A333" s="14"/>
      <c r="B333" s="14"/>
      <c r="C333" s="14"/>
    </row>
    <row r="334" ht="35.25" customHeight="1">
      <c r="A334" s="14"/>
      <c r="B334" s="14"/>
      <c r="C334" s="14"/>
    </row>
    <row r="335" ht="35.25" customHeight="1">
      <c r="A335" s="14"/>
      <c r="B335" s="14"/>
      <c r="C335" s="14"/>
    </row>
    <row r="336" ht="35.25" customHeight="1">
      <c r="A336" s="14"/>
      <c r="B336" s="14"/>
      <c r="C336" s="14"/>
    </row>
    <row r="337" ht="35.25" customHeight="1">
      <c r="A337" s="14"/>
      <c r="B337" s="14"/>
      <c r="C337" s="14"/>
    </row>
    <row r="338" ht="35.25" customHeight="1">
      <c r="A338" s="14"/>
      <c r="B338" s="14"/>
      <c r="C338" s="14"/>
    </row>
    <row r="339" ht="35.25" customHeight="1">
      <c r="A339" s="14"/>
      <c r="B339" s="14"/>
      <c r="C339" s="14"/>
    </row>
    <row r="340" ht="35.25" customHeight="1">
      <c r="A340" s="14"/>
      <c r="B340" s="14"/>
      <c r="C340" s="14"/>
    </row>
    <row r="341" ht="35.25" customHeight="1">
      <c r="A341" s="14"/>
      <c r="B341" s="14"/>
      <c r="C341" s="14"/>
    </row>
    <row r="342" ht="35.25" customHeight="1">
      <c r="A342" s="14"/>
      <c r="B342" s="14"/>
      <c r="C342" s="14"/>
    </row>
    <row r="343" ht="35.25" customHeight="1">
      <c r="A343" s="14"/>
      <c r="B343" s="14"/>
      <c r="C343" s="14"/>
    </row>
    <row r="344" ht="35.25" customHeight="1">
      <c r="A344" s="14"/>
      <c r="B344" s="14"/>
      <c r="C344" s="14"/>
    </row>
    <row r="345" ht="35.25" customHeight="1">
      <c r="A345" s="14"/>
      <c r="B345" s="14"/>
      <c r="C345" s="14"/>
    </row>
    <row r="346" ht="35.25" customHeight="1">
      <c r="A346" s="14"/>
      <c r="B346" s="14"/>
      <c r="C346" s="14"/>
    </row>
    <row r="347" ht="35.25" customHeight="1">
      <c r="A347" s="14"/>
      <c r="B347" s="14"/>
      <c r="C347" s="14"/>
    </row>
    <row r="348" ht="35.25" customHeight="1">
      <c r="A348" s="14"/>
      <c r="B348" s="14"/>
      <c r="C348" s="14"/>
    </row>
    <row r="349" ht="35.25" customHeight="1">
      <c r="A349" s="14"/>
      <c r="B349" s="14"/>
      <c r="C349" s="14"/>
    </row>
    <row r="350" ht="35.25" customHeight="1">
      <c r="A350" s="14"/>
      <c r="B350" s="14"/>
      <c r="C350" s="14"/>
    </row>
    <row r="351" ht="35.25" customHeight="1">
      <c r="A351" s="14"/>
      <c r="B351" s="14"/>
      <c r="C351" s="14"/>
    </row>
    <row r="352" ht="35.25" customHeight="1">
      <c r="A352" s="14"/>
      <c r="B352" s="14"/>
      <c r="C352" s="14"/>
    </row>
    <row r="353" ht="35.25" customHeight="1">
      <c r="A353" s="14"/>
      <c r="B353" s="14"/>
      <c r="C353" s="14"/>
    </row>
    <row r="354" ht="35.25" customHeight="1">
      <c r="A354" s="14"/>
      <c r="B354" s="14"/>
      <c r="C354" s="14"/>
    </row>
    <row r="355" ht="35.25" customHeight="1">
      <c r="A355" s="14"/>
      <c r="B355" s="14"/>
      <c r="C355" s="14"/>
    </row>
    <row r="356" ht="35.25" customHeight="1">
      <c r="A356" s="14"/>
      <c r="B356" s="14"/>
      <c r="C356" s="14"/>
    </row>
    <row r="357" ht="35.25" customHeight="1">
      <c r="A357" s="14"/>
      <c r="B357" s="14"/>
      <c r="C357" s="14"/>
    </row>
    <row r="358" ht="35.25" customHeight="1">
      <c r="A358" s="14"/>
      <c r="B358" s="14"/>
      <c r="C358" s="14"/>
    </row>
    <row r="359" ht="35.25" customHeight="1">
      <c r="A359" s="14"/>
      <c r="B359" s="14"/>
      <c r="C359" s="14"/>
    </row>
    <row r="360" ht="35.25" customHeight="1">
      <c r="A360" s="14"/>
      <c r="B360" s="14"/>
      <c r="C360" s="14"/>
    </row>
    <row r="361" ht="35.25" customHeight="1">
      <c r="A361" s="14"/>
      <c r="B361" s="14"/>
      <c r="C361" s="14"/>
    </row>
    <row r="362" ht="35.25" customHeight="1">
      <c r="A362" s="14"/>
      <c r="B362" s="14"/>
      <c r="C362" s="14"/>
    </row>
    <row r="363" ht="35.25" customHeight="1">
      <c r="A363" s="14"/>
      <c r="B363" s="14"/>
      <c r="C363" s="14"/>
    </row>
    <row r="364" ht="35.25" customHeight="1">
      <c r="A364" s="14"/>
      <c r="B364" s="14"/>
      <c r="C364" s="14"/>
    </row>
    <row r="365" ht="35.25" customHeight="1">
      <c r="A365" s="14"/>
      <c r="B365" s="14"/>
      <c r="C365" s="14"/>
    </row>
    <row r="366" ht="35.25" customHeight="1">
      <c r="A366" s="14"/>
      <c r="B366" s="14"/>
      <c r="C366" s="14"/>
    </row>
    <row r="367" ht="35.25" customHeight="1">
      <c r="A367" s="14"/>
      <c r="B367" s="14"/>
      <c r="C367" s="14"/>
    </row>
    <row r="368" ht="35.25" customHeight="1">
      <c r="A368" s="14"/>
      <c r="B368" s="14"/>
      <c r="C368" s="14"/>
    </row>
    <row r="369" ht="35.25" customHeight="1">
      <c r="A369" s="14"/>
      <c r="B369" s="14"/>
      <c r="C369" s="14"/>
    </row>
    <row r="370" ht="35.25" customHeight="1">
      <c r="A370" s="14"/>
      <c r="B370" s="14"/>
      <c r="C370" s="14"/>
    </row>
    <row r="371" ht="35.25" customHeight="1">
      <c r="A371" s="14"/>
      <c r="B371" s="14"/>
      <c r="C371" s="14"/>
    </row>
    <row r="372" ht="35.25" customHeight="1">
      <c r="A372" s="14"/>
      <c r="B372" s="14"/>
      <c r="C372" s="14"/>
    </row>
    <row r="373" ht="35.25" customHeight="1">
      <c r="A373" s="14"/>
      <c r="B373" s="14"/>
      <c r="C373" s="14"/>
    </row>
    <row r="374" ht="35.25" customHeight="1">
      <c r="A374" s="14"/>
      <c r="B374" s="14"/>
      <c r="C374" s="14"/>
    </row>
    <row r="375" ht="35.25" customHeight="1">
      <c r="A375" s="14"/>
      <c r="B375" s="14"/>
      <c r="C375" s="14"/>
    </row>
    <row r="376" ht="35.25" customHeight="1">
      <c r="A376" s="14"/>
      <c r="B376" s="14"/>
      <c r="C376" s="14"/>
    </row>
    <row r="377" ht="35.25" customHeight="1">
      <c r="A377" s="14"/>
      <c r="B377" s="14"/>
      <c r="C377" s="14"/>
    </row>
    <row r="378" ht="35.25" customHeight="1">
      <c r="A378" s="14"/>
      <c r="B378" s="14"/>
      <c r="C378" s="14"/>
    </row>
    <row r="379" ht="35.25" customHeight="1">
      <c r="A379" s="14"/>
      <c r="B379" s="14"/>
      <c r="C379" s="14"/>
    </row>
    <row r="380" ht="35.25" customHeight="1">
      <c r="A380" s="14"/>
      <c r="B380" s="14"/>
      <c r="C380" s="14"/>
    </row>
    <row r="381" ht="35.25" customHeight="1">
      <c r="A381" s="14"/>
      <c r="B381" s="14"/>
      <c r="C381" s="14"/>
    </row>
    <row r="382" ht="35.25" customHeight="1">
      <c r="A382" s="14"/>
      <c r="B382" s="14"/>
      <c r="C382" s="14"/>
    </row>
    <row r="383" ht="35.25" customHeight="1">
      <c r="A383" s="14"/>
      <c r="B383" s="14"/>
      <c r="C383" s="14"/>
    </row>
    <row r="384" ht="35.25" customHeight="1">
      <c r="A384" s="14"/>
      <c r="B384" s="14"/>
      <c r="C384" s="14"/>
    </row>
    <row r="385" ht="35.25" customHeight="1">
      <c r="A385" s="14"/>
      <c r="B385" s="14"/>
      <c r="C385" s="14"/>
    </row>
    <row r="386" ht="35.25" customHeight="1">
      <c r="A386" s="14"/>
      <c r="B386" s="14"/>
      <c r="C386" s="14"/>
    </row>
    <row r="387" ht="35.25" customHeight="1">
      <c r="A387" s="14"/>
      <c r="B387" s="14"/>
      <c r="C387" s="14"/>
    </row>
    <row r="388" ht="35.25" customHeight="1">
      <c r="A388" s="14"/>
      <c r="B388" s="14"/>
      <c r="C388" s="14"/>
    </row>
    <row r="389" ht="35.25" customHeight="1">
      <c r="A389" s="14"/>
      <c r="B389" s="14"/>
      <c r="C389" s="14"/>
    </row>
    <row r="390" ht="35.25" customHeight="1">
      <c r="A390" s="14"/>
      <c r="B390" s="14"/>
      <c r="C390" s="14"/>
    </row>
    <row r="391" ht="35.25" customHeight="1">
      <c r="A391" s="14"/>
      <c r="B391" s="14"/>
      <c r="C391" s="14"/>
    </row>
    <row r="392" ht="35.25" customHeight="1">
      <c r="A392" s="14"/>
      <c r="B392" s="14"/>
      <c r="C392" s="14"/>
    </row>
    <row r="393" ht="35.25" customHeight="1">
      <c r="A393" s="14"/>
      <c r="B393" s="14"/>
      <c r="C393" s="14"/>
    </row>
    <row r="394" ht="35.25" customHeight="1">
      <c r="A394" s="14"/>
      <c r="B394" s="14"/>
      <c r="C394" s="14"/>
    </row>
    <row r="395" ht="35.25" customHeight="1">
      <c r="A395" s="14"/>
      <c r="B395" s="14"/>
      <c r="C395" s="14"/>
    </row>
    <row r="396" ht="35.25" customHeight="1">
      <c r="A396" s="14"/>
      <c r="B396" s="14"/>
      <c r="C396" s="14"/>
    </row>
    <row r="397" ht="35.25" customHeight="1">
      <c r="A397" s="14"/>
      <c r="B397" s="14"/>
      <c r="C397" s="14"/>
    </row>
    <row r="398" ht="35.25" customHeight="1">
      <c r="A398" s="14"/>
      <c r="B398" s="14"/>
      <c r="C398" s="14"/>
    </row>
    <row r="399" ht="35.25" customHeight="1">
      <c r="A399" s="14"/>
      <c r="B399" s="14"/>
      <c r="C399" s="14"/>
    </row>
    <row r="400" ht="35.25" customHeight="1">
      <c r="A400" s="14"/>
      <c r="B400" s="14"/>
      <c r="C400" s="14"/>
    </row>
    <row r="401" ht="35.25" customHeight="1">
      <c r="A401" s="14"/>
      <c r="B401" s="14"/>
      <c r="C401" s="14"/>
    </row>
    <row r="402" ht="35.25" customHeight="1">
      <c r="A402" s="14"/>
      <c r="B402" s="14"/>
      <c r="C402" s="14"/>
    </row>
    <row r="403" ht="35.25" customHeight="1">
      <c r="A403" s="14"/>
      <c r="B403" s="14"/>
      <c r="C403" s="14"/>
    </row>
    <row r="404" ht="35.25" customHeight="1">
      <c r="A404" s="14"/>
      <c r="B404" s="14"/>
      <c r="C404" s="14"/>
    </row>
    <row r="405" ht="35.25" customHeight="1">
      <c r="A405" s="14"/>
      <c r="B405" s="14"/>
      <c r="C405" s="14"/>
    </row>
    <row r="406" ht="35.25" customHeight="1">
      <c r="A406" s="14"/>
      <c r="B406" s="14"/>
      <c r="C406" s="14"/>
    </row>
    <row r="407" ht="35.25" customHeight="1">
      <c r="A407" s="14"/>
      <c r="B407" s="14"/>
      <c r="C407" s="14"/>
    </row>
    <row r="408" ht="35.25" customHeight="1">
      <c r="A408" s="14"/>
      <c r="B408" s="14"/>
      <c r="C408" s="14"/>
    </row>
    <row r="409" ht="35.25" customHeight="1">
      <c r="A409" s="14"/>
      <c r="B409" s="14"/>
      <c r="C409" s="14"/>
    </row>
    <row r="410" ht="35.25" customHeight="1">
      <c r="A410" s="14"/>
      <c r="B410" s="14"/>
      <c r="C410" s="14"/>
    </row>
    <row r="411" ht="35.25" customHeight="1">
      <c r="A411" s="14"/>
      <c r="B411" s="14"/>
      <c r="C411" s="14"/>
    </row>
    <row r="412" ht="35.25" customHeight="1">
      <c r="A412" s="14"/>
      <c r="B412" s="14"/>
      <c r="C412" s="14"/>
    </row>
    <row r="413" ht="35.25" customHeight="1">
      <c r="A413" s="14"/>
      <c r="B413" s="14"/>
      <c r="C413" s="14"/>
    </row>
    <row r="414" ht="35.25" customHeight="1">
      <c r="A414" s="14"/>
      <c r="B414" s="14"/>
      <c r="C414" s="14"/>
    </row>
    <row r="415" ht="35.25" customHeight="1">
      <c r="A415" s="14"/>
      <c r="B415" s="14"/>
      <c r="C415" s="14"/>
    </row>
    <row r="416" ht="35.25" customHeight="1">
      <c r="A416" s="14"/>
      <c r="B416" s="14"/>
      <c r="C416" s="14"/>
    </row>
    <row r="417" ht="35.25" customHeight="1">
      <c r="A417" s="14"/>
      <c r="B417" s="14"/>
      <c r="C417" s="14"/>
    </row>
    <row r="418" ht="35.25" customHeight="1">
      <c r="A418" s="14"/>
      <c r="B418" s="14"/>
      <c r="C418" s="14"/>
    </row>
    <row r="419" ht="35.25" customHeight="1">
      <c r="A419" s="14"/>
      <c r="B419" s="14"/>
      <c r="C419" s="14"/>
    </row>
    <row r="420" ht="35.25" customHeight="1">
      <c r="A420" s="14"/>
      <c r="B420" s="14"/>
      <c r="C420" s="14"/>
    </row>
    <row r="421" ht="35.25" customHeight="1">
      <c r="A421" s="14"/>
      <c r="B421" s="14"/>
      <c r="C421" s="14"/>
    </row>
    <row r="422" ht="35.25" customHeight="1">
      <c r="A422" s="14"/>
      <c r="B422" s="14"/>
      <c r="C422" s="14"/>
    </row>
    <row r="423" ht="35.25" customHeight="1">
      <c r="A423" s="14"/>
      <c r="B423" s="14"/>
      <c r="C423" s="14"/>
    </row>
    <row r="424" ht="35.25" customHeight="1">
      <c r="A424" s="14"/>
      <c r="B424" s="14"/>
      <c r="C424" s="14"/>
    </row>
    <row r="425" ht="35.25" customHeight="1">
      <c r="A425" s="14"/>
      <c r="B425" s="14"/>
      <c r="C425" s="14"/>
    </row>
    <row r="426" ht="35.25" customHeight="1">
      <c r="A426" s="14"/>
      <c r="B426" s="14"/>
      <c r="C426" s="14"/>
    </row>
    <row r="427" ht="35.25" customHeight="1">
      <c r="A427" s="14"/>
      <c r="B427" s="14"/>
      <c r="C427" s="14"/>
    </row>
    <row r="428" ht="35.25" customHeight="1">
      <c r="A428" s="14"/>
      <c r="B428" s="14"/>
      <c r="C428" s="14"/>
    </row>
    <row r="429" ht="35.25" customHeight="1">
      <c r="A429" s="14"/>
      <c r="B429" s="14"/>
      <c r="C429" s="14"/>
    </row>
    <row r="430" ht="35.25" customHeight="1">
      <c r="A430" s="14"/>
      <c r="B430" s="14"/>
      <c r="C430" s="14"/>
    </row>
    <row r="431" ht="35.25" customHeight="1">
      <c r="A431" s="14"/>
      <c r="B431" s="14"/>
      <c r="C431" s="14"/>
    </row>
    <row r="432" ht="35.25" customHeight="1">
      <c r="A432" s="14"/>
      <c r="B432" s="14"/>
      <c r="C432" s="14"/>
    </row>
    <row r="433" ht="35.25" customHeight="1">
      <c r="A433" s="14"/>
      <c r="B433" s="14"/>
      <c r="C433" s="14"/>
    </row>
    <row r="434" ht="35.25" customHeight="1">
      <c r="A434" s="14"/>
      <c r="B434" s="14"/>
      <c r="C434" s="14"/>
    </row>
    <row r="435" ht="35.25" customHeight="1">
      <c r="A435" s="14"/>
      <c r="B435" s="14"/>
      <c r="C435" s="14"/>
    </row>
    <row r="436" ht="35.25" customHeight="1">
      <c r="A436" s="14"/>
      <c r="B436" s="14"/>
      <c r="C436" s="14"/>
    </row>
    <row r="437" ht="35.25" customHeight="1">
      <c r="A437" s="14"/>
      <c r="B437" s="14"/>
      <c r="C437" s="14"/>
    </row>
    <row r="438" ht="35.25" customHeight="1">
      <c r="A438" s="14"/>
      <c r="B438" s="14"/>
      <c r="C438" s="14"/>
    </row>
    <row r="439" ht="35.25" customHeight="1">
      <c r="A439" s="14"/>
      <c r="B439" s="14"/>
      <c r="C439" s="14"/>
    </row>
    <row r="440" ht="35.25" customHeight="1">
      <c r="A440" s="14"/>
      <c r="B440" s="14"/>
      <c r="C440" s="14"/>
    </row>
    <row r="441" ht="35.25" customHeight="1">
      <c r="A441" s="14"/>
      <c r="B441" s="14"/>
      <c r="C441" s="14"/>
    </row>
    <row r="442" ht="35.25" customHeight="1">
      <c r="A442" s="14"/>
      <c r="B442" s="14"/>
      <c r="C442" s="14"/>
    </row>
    <row r="443" ht="35.25" customHeight="1">
      <c r="A443" s="14"/>
      <c r="B443" s="14"/>
      <c r="C443" s="14"/>
    </row>
    <row r="444" ht="35.25" customHeight="1">
      <c r="A444" s="14"/>
      <c r="B444" s="14"/>
      <c r="C444" s="14"/>
    </row>
    <row r="445" ht="35.25" customHeight="1">
      <c r="A445" s="14"/>
      <c r="B445" s="14"/>
      <c r="C445" s="14"/>
    </row>
    <row r="446" ht="35.25" customHeight="1">
      <c r="A446" s="14"/>
      <c r="B446" s="14"/>
      <c r="C446" s="14"/>
    </row>
    <row r="447" ht="35.25" customHeight="1">
      <c r="A447" s="14"/>
      <c r="B447" s="14"/>
      <c r="C447" s="14"/>
    </row>
    <row r="448" ht="35.25" customHeight="1">
      <c r="A448" s="14"/>
      <c r="B448" s="14"/>
      <c r="C448" s="14"/>
    </row>
    <row r="449" ht="35.25" customHeight="1">
      <c r="A449" s="14"/>
      <c r="B449" s="14"/>
      <c r="C449" s="14"/>
    </row>
    <row r="450" ht="35.25" customHeight="1">
      <c r="A450" s="14"/>
      <c r="B450" s="14"/>
      <c r="C450" s="14"/>
    </row>
    <row r="451" ht="35.25" customHeight="1">
      <c r="A451" s="14"/>
      <c r="B451" s="14"/>
      <c r="C451" s="14"/>
    </row>
    <row r="452" ht="35.25" customHeight="1">
      <c r="A452" s="14"/>
      <c r="B452" s="14"/>
      <c r="C452" s="14"/>
    </row>
    <row r="453" ht="35.25" customHeight="1">
      <c r="A453" s="14"/>
      <c r="B453" s="14"/>
      <c r="C453" s="14"/>
    </row>
    <row r="454" ht="35.25" customHeight="1">
      <c r="A454" s="14"/>
      <c r="B454" s="14"/>
      <c r="C454" s="14"/>
    </row>
    <row r="455" ht="35.25" customHeight="1">
      <c r="A455" s="14"/>
      <c r="B455" s="14"/>
      <c r="C455" s="14"/>
    </row>
    <row r="456" ht="35.25" customHeight="1">
      <c r="A456" s="14"/>
      <c r="B456" s="14"/>
      <c r="C456" s="14"/>
    </row>
    <row r="457" ht="35.25" customHeight="1">
      <c r="A457" s="14"/>
      <c r="B457" s="14"/>
      <c r="C457" s="14"/>
    </row>
    <row r="458" ht="35.25" customHeight="1">
      <c r="A458" s="14"/>
      <c r="B458" s="14"/>
      <c r="C458" s="14"/>
    </row>
    <row r="459" ht="35.25" customHeight="1">
      <c r="A459" s="14"/>
      <c r="B459" s="14"/>
      <c r="C459" s="14"/>
    </row>
    <row r="460" ht="35.25" customHeight="1">
      <c r="A460" s="14"/>
      <c r="B460" s="14"/>
      <c r="C460" s="14"/>
    </row>
    <row r="461" ht="35.25" customHeight="1">
      <c r="A461" s="14"/>
      <c r="B461" s="14"/>
      <c r="C461" s="14"/>
    </row>
    <row r="462" ht="35.25" customHeight="1">
      <c r="A462" s="14"/>
      <c r="B462" s="14"/>
      <c r="C462" s="14"/>
    </row>
    <row r="463" ht="35.25" customHeight="1">
      <c r="A463" s="14"/>
      <c r="B463" s="14"/>
      <c r="C463" s="14"/>
    </row>
    <row r="464" ht="35.25" customHeight="1">
      <c r="A464" s="14"/>
      <c r="B464" s="14"/>
      <c r="C464" s="14"/>
    </row>
    <row r="465" ht="35.25" customHeight="1">
      <c r="A465" s="14"/>
      <c r="B465" s="14"/>
      <c r="C465" s="14"/>
    </row>
    <row r="466" ht="35.25" customHeight="1">
      <c r="A466" s="14"/>
      <c r="B466" s="14"/>
      <c r="C466" s="14"/>
    </row>
    <row r="467" ht="35.25" customHeight="1">
      <c r="A467" s="14"/>
      <c r="B467" s="14"/>
      <c r="C467" s="14"/>
    </row>
    <row r="468" ht="35.25" customHeight="1">
      <c r="A468" s="14"/>
      <c r="B468" s="14"/>
      <c r="C468" s="14"/>
    </row>
    <row r="469" ht="35.25" customHeight="1">
      <c r="A469" s="14"/>
      <c r="B469" s="14"/>
      <c r="C469" s="14"/>
    </row>
    <row r="470" ht="35.25" customHeight="1">
      <c r="A470" s="14"/>
      <c r="B470" s="14"/>
      <c r="C470" s="14"/>
    </row>
    <row r="471" ht="35.25" customHeight="1">
      <c r="A471" s="14"/>
      <c r="B471" s="14"/>
      <c r="C471" s="14"/>
    </row>
    <row r="472" ht="35.25" customHeight="1">
      <c r="A472" s="14"/>
      <c r="B472" s="14"/>
      <c r="C472" s="14"/>
    </row>
    <row r="473" ht="35.25" customHeight="1">
      <c r="A473" s="14"/>
      <c r="B473" s="14"/>
      <c r="C473" s="14"/>
    </row>
    <row r="474" ht="35.25" customHeight="1">
      <c r="A474" s="14"/>
      <c r="B474" s="14"/>
      <c r="C474" s="14"/>
    </row>
    <row r="475" ht="35.25" customHeight="1">
      <c r="A475" s="14"/>
      <c r="B475" s="14"/>
      <c r="C475" s="14"/>
    </row>
    <row r="476" ht="35.25" customHeight="1">
      <c r="A476" s="14"/>
      <c r="B476" s="14"/>
      <c r="C476" s="14"/>
    </row>
    <row r="477" ht="35.25" customHeight="1">
      <c r="A477" s="14"/>
      <c r="B477" s="14"/>
      <c r="C477" s="14"/>
    </row>
    <row r="478" ht="35.25" customHeight="1">
      <c r="A478" s="14"/>
      <c r="B478" s="14"/>
      <c r="C478" s="14"/>
    </row>
    <row r="479" ht="35.25" customHeight="1">
      <c r="A479" s="14"/>
      <c r="B479" s="14"/>
      <c r="C479" s="14"/>
    </row>
    <row r="480" ht="35.25" customHeight="1">
      <c r="A480" s="14"/>
      <c r="B480" s="14"/>
      <c r="C480" s="14"/>
    </row>
    <row r="481" ht="35.25" customHeight="1">
      <c r="A481" s="14"/>
      <c r="B481" s="14"/>
      <c r="C481" s="14"/>
    </row>
    <row r="482" ht="35.25" customHeight="1">
      <c r="A482" s="14"/>
      <c r="B482" s="14"/>
      <c r="C482" s="14"/>
    </row>
    <row r="483" ht="35.25" customHeight="1">
      <c r="A483" s="14"/>
      <c r="B483" s="14"/>
      <c r="C483" s="14"/>
    </row>
    <row r="484" ht="35.25" customHeight="1">
      <c r="A484" s="14"/>
      <c r="B484" s="14"/>
      <c r="C484" s="14"/>
    </row>
    <row r="485" ht="35.25" customHeight="1">
      <c r="A485" s="14"/>
      <c r="B485" s="14"/>
      <c r="C485" s="14"/>
    </row>
    <row r="486" ht="35.25" customHeight="1">
      <c r="A486" s="14"/>
      <c r="B486" s="14"/>
      <c r="C486" s="14"/>
    </row>
    <row r="487" ht="35.25" customHeight="1">
      <c r="A487" s="14"/>
      <c r="B487" s="14"/>
      <c r="C487" s="14"/>
    </row>
    <row r="488" ht="35.25" customHeight="1">
      <c r="A488" s="14"/>
      <c r="B488" s="14"/>
      <c r="C488" s="14"/>
    </row>
    <row r="489" ht="35.25" customHeight="1">
      <c r="A489" s="14"/>
      <c r="B489" s="14"/>
      <c r="C489" s="14"/>
    </row>
    <row r="490" ht="35.25" customHeight="1">
      <c r="A490" s="14"/>
      <c r="B490" s="14"/>
      <c r="C490" s="14"/>
    </row>
    <row r="491" ht="35.25" customHeight="1">
      <c r="A491" s="14"/>
      <c r="B491" s="14"/>
      <c r="C491" s="14"/>
    </row>
    <row r="492" ht="35.25" customHeight="1">
      <c r="A492" s="14"/>
      <c r="B492" s="14"/>
      <c r="C492" s="14"/>
    </row>
    <row r="493" ht="35.25" customHeight="1">
      <c r="A493" s="14"/>
      <c r="B493" s="14"/>
      <c r="C493" s="14"/>
    </row>
    <row r="494" ht="35.25" customHeight="1">
      <c r="A494" s="14"/>
      <c r="B494" s="14"/>
      <c r="C494" s="14"/>
    </row>
    <row r="495" ht="35.25" customHeight="1">
      <c r="A495" s="14"/>
      <c r="B495" s="14"/>
      <c r="C495" s="14"/>
    </row>
    <row r="496" ht="35.25" customHeight="1">
      <c r="A496" s="14"/>
      <c r="B496" s="14"/>
      <c r="C496" s="14"/>
    </row>
    <row r="497" ht="35.25" customHeight="1">
      <c r="A497" s="14"/>
      <c r="B497" s="14"/>
      <c r="C497" s="14"/>
    </row>
    <row r="498" ht="35.25" customHeight="1">
      <c r="A498" s="14"/>
      <c r="B498" s="14"/>
      <c r="C498" s="14"/>
    </row>
    <row r="499" ht="35.25" customHeight="1">
      <c r="A499" s="14"/>
      <c r="B499" s="14"/>
      <c r="C499" s="14"/>
    </row>
    <row r="500" ht="35.25" customHeight="1">
      <c r="A500" s="14"/>
      <c r="B500" s="14"/>
      <c r="C500" s="14"/>
    </row>
    <row r="501" ht="35.25" customHeight="1">
      <c r="A501" s="14"/>
      <c r="B501" s="14"/>
      <c r="C501" s="14"/>
    </row>
    <row r="502" ht="35.25" customHeight="1">
      <c r="A502" s="14"/>
      <c r="B502" s="14"/>
      <c r="C502" s="14"/>
    </row>
    <row r="503" ht="35.25" customHeight="1">
      <c r="A503" s="14"/>
      <c r="B503" s="14"/>
      <c r="C503" s="14"/>
    </row>
    <row r="504" ht="35.25" customHeight="1">
      <c r="A504" s="14"/>
      <c r="B504" s="14"/>
      <c r="C504" s="14"/>
    </row>
    <row r="505" ht="35.25" customHeight="1">
      <c r="A505" s="14"/>
      <c r="B505" s="14"/>
      <c r="C505" s="14"/>
    </row>
    <row r="506" ht="35.25" customHeight="1">
      <c r="A506" s="14"/>
      <c r="B506" s="14"/>
      <c r="C506" s="14"/>
    </row>
    <row r="507" ht="35.25" customHeight="1">
      <c r="A507" s="14"/>
      <c r="B507" s="14"/>
      <c r="C507" s="14"/>
    </row>
    <row r="508" ht="35.25" customHeight="1">
      <c r="A508" s="14"/>
      <c r="B508" s="14"/>
      <c r="C508" s="14"/>
    </row>
    <row r="509" ht="35.25" customHeight="1">
      <c r="A509" s="14"/>
      <c r="B509" s="14"/>
      <c r="C509" s="14"/>
    </row>
    <row r="510" ht="35.25" customHeight="1">
      <c r="A510" s="14"/>
      <c r="B510" s="14"/>
      <c r="C510" s="14"/>
    </row>
    <row r="511" ht="35.25" customHeight="1">
      <c r="A511" s="14"/>
      <c r="B511" s="14"/>
      <c r="C511" s="14"/>
    </row>
    <row r="512" ht="35.25" customHeight="1">
      <c r="A512" s="14"/>
      <c r="B512" s="14"/>
      <c r="C512" s="14"/>
    </row>
    <row r="513" ht="35.25" customHeight="1">
      <c r="A513" s="14"/>
      <c r="B513" s="14"/>
      <c r="C513" s="14"/>
    </row>
    <row r="514" ht="35.25" customHeight="1">
      <c r="A514" s="14"/>
      <c r="B514" s="14"/>
      <c r="C514" s="14"/>
    </row>
    <row r="515" ht="35.25" customHeight="1">
      <c r="A515" s="14"/>
      <c r="B515" s="14"/>
      <c r="C515" s="14"/>
    </row>
    <row r="516" ht="35.25" customHeight="1">
      <c r="A516" s="14"/>
      <c r="B516" s="14"/>
      <c r="C516" s="14"/>
    </row>
    <row r="517" ht="35.25" customHeight="1">
      <c r="A517" s="14"/>
      <c r="B517" s="14"/>
      <c r="C517" s="14"/>
    </row>
    <row r="518" ht="35.25" customHeight="1">
      <c r="A518" s="14"/>
      <c r="B518" s="14"/>
      <c r="C518" s="14"/>
    </row>
    <row r="519" ht="35.25" customHeight="1">
      <c r="A519" s="14"/>
      <c r="B519" s="14"/>
      <c r="C519" s="14"/>
    </row>
    <row r="520" ht="35.25" customHeight="1">
      <c r="A520" s="14"/>
      <c r="B520" s="14"/>
      <c r="C520" s="14"/>
    </row>
    <row r="521" ht="35.25" customHeight="1">
      <c r="A521" s="14"/>
      <c r="B521" s="14"/>
      <c r="C521" s="14"/>
    </row>
    <row r="522" ht="35.25" customHeight="1">
      <c r="A522" s="14"/>
      <c r="B522" s="14"/>
      <c r="C522" s="14"/>
    </row>
    <row r="523" ht="35.25" customHeight="1">
      <c r="A523" s="14"/>
      <c r="B523" s="14"/>
      <c r="C523" s="14"/>
    </row>
    <row r="524" ht="35.25" customHeight="1">
      <c r="A524" s="14"/>
      <c r="B524" s="14"/>
      <c r="C524" s="14"/>
    </row>
    <row r="525" ht="35.25" customHeight="1">
      <c r="A525" s="14"/>
      <c r="B525" s="14"/>
      <c r="C525" s="14"/>
    </row>
    <row r="526" ht="35.25" customHeight="1">
      <c r="A526" s="14"/>
      <c r="B526" s="14"/>
      <c r="C526" s="14"/>
    </row>
    <row r="527" ht="35.25" customHeight="1">
      <c r="A527" s="14"/>
      <c r="B527" s="14"/>
      <c r="C527" s="14"/>
    </row>
    <row r="528" ht="35.25" customHeight="1">
      <c r="A528" s="14"/>
      <c r="B528" s="14"/>
      <c r="C528" s="14"/>
    </row>
    <row r="529" ht="35.25" customHeight="1">
      <c r="A529" s="14"/>
      <c r="B529" s="14"/>
      <c r="C529" s="14"/>
    </row>
    <row r="530" ht="35.25" customHeight="1">
      <c r="A530" s="14"/>
      <c r="B530" s="14"/>
      <c r="C530" s="14"/>
    </row>
    <row r="531" ht="35.25" customHeight="1">
      <c r="A531" s="14"/>
      <c r="B531" s="14"/>
      <c r="C531" s="14"/>
    </row>
    <row r="532" ht="35.25" customHeight="1">
      <c r="A532" s="14"/>
      <c r="B532" s="14"/>
      <c r="C532" s="14"/>
    </row>
    <row r="533" ht="35.25" customHeight="1">
      <c r="A533" s="14"/>
      <c r="B533" s="14"/>
      <c r="C533" s="14"/>
    </row>
    <row r="534" ht="35.25" customHeight="1">
      <c r="A534" s="14"/>
      <c r="B534" s="14"/>
      <c r="C534" s="14"/>
    </row>
    <row r="535" ht="35.25" customHeight="1">
      <c r="A535" s="14"/>
      <c r="B535" s="14"/>
      <c r="C535" s="14"/>
    </row>
    <row r="536" ht="35.25" customHeight="1">
      <c r="A536" s="14"/>
      <c r="B536" s="14"/>
      <c r="C536" s="14"/>
    </row>
    <row r="537" ht="35.25" customHeight="1">
      <c r="A537" s="14"/>
      <c r="B537" s="14"/>
      <c r="C537" s="14"/>
    </row>
    <row r="538" ht="35.25" customHeight="1">
      <c r="A538" s="14"/>
      <c r="B538" s="14"/>
      <c r="C538" s="14"/>
    </row>
    <row r="539" ht="35.25" customHeight="1">
      <c r="A539" s="14"/>
      <c r="B539" s="14"/>
      <c r="C539" s="14"/>
    </row>
    <row r="540" ht="35.25" customHeight="1">
      <c r="A540" s="14"/>
      <c r="B540" s="14"/>
      <c r="C540" s="14"/>
    </row>
    <row r="541" ht="35.25" customHeight="1">
      <c r="A541" s="14"/>
      <c r="B541" s="14"/>
      <c r="C541" s="14"/>
    </row>
    <row r="542" ht="35.25" customHeight="1">
      <c r="A542" s="14"/>
      <c r="B542" s="14"/>
      <c r="C542" s="14"/>
    </row>
    <row r="543" ht="35.25" customHeight="1">
      <c r="A543" s="14"/>
      <c r="B543" s="14"/>
      <c r="C543" s="14"/>
    </row>
    <row r="544" ht="35.25" customHeight="1">
      <c r="A544" s="14"/>
      <c r="B544" s="14"/>
      <c r="C544" s="14"/>
    </row>
    <row r="545" ht="35.25" customHeight="1">
      <c r="A545" s="14"/>
      <c r="B545" s="14"/>
      <c r="C545" s="14"/>
    </row>
    <row r="546" ht="35.25" customHeight="1">
      <c r="A546" s="14"/>
      <c r="B546" s="14"/>
      <c r="C546" s="14"/>
    </row>
    <row r="547" ht="35.25" customHeight="1">
      <c r="A547" s="14"/>
      <c r="B547" s="14"/>
      <c r="C547" s="14"/>
    </row>
    <row r="548" ht="35.25" customHeight="1">
      <c r="A548" s="14"/>
      <c r="B548" s="14"/>
      <c r="C548" s="14"/>
    </row>
    <row r="549" ht="35.25" customHeight="1">
      <c r="A549" s="14"/>
      <c r="B549" s="14"/>
      <c r="C549" s="14"/>
    </row>
    <row r="550" ht="35.25" customHeight="1">
      <c r="A550" s="14"/>
      <c r="B550" s="14"/>
      <c r="C550" s="14"/>
    </row>
    <row r="551" ht="35.25" customHeight="1">
      <c r="A551" s="14"/>
      <c r="B551" s="14"/>
      <c r="C551" s="14"/>
    </row>
    <row r="552" ht="35.25" customHeight="1">
      <c r="A552" s="14"/>
      <c r="B552" s="14"/>
      <c r="C552" s="14"/>
    </row>
    <row r="553" ht="35.25" customHeight="1">
      <c r="A553" s="14"/>
      <c r="B553" s="14"/>
      <c r="C553" s="14"/>
    </row>
    <row r="554" ht="35.25" customHeight="1">
      <c r="A554" s="14"/>
      <c r="B554" s="14"/>
      <c r="C554" s="14"/>
    </row>
    <row r="555" ht="35.25" customHeight="1">
      <c r="A555" s="14"/>
      <c r="B555" s="14"/>
      <c r="C555" s="14"/>
    </row>
    <row r="556" ht="35.25" customHeight="1">
      <c r="A556" s="14"/>
      <c r="B556" s="14"/>
      <c r="C556" s="14"/>
    </row>
    <row r="557" ht="35.25" customHeight="1">
      <c r="A557" s="14"/>
      <c r="B557" s="14"/>
      <c r="C557" s="14"/>
    </row>
    <row r="558" ht="35.25" customHeight="1">
      <c r="A558" s="14"/>
      <c r="B558" s="14"/>
      <c r="C558" s="14"/>
    </row>
    <row r="559" ht="35.25" customHeight="1">
      <c r="A559" s="14"/>
      <c r="B559" s="14"/>
      <c r="C559" s="14"/>
    </row>
    <row r="560" ht="35.25" customHeight="1">
      <c r="A560" s="14"/>
      <c r="B560" s="14"/>
      <c r="C560" s="14"/>
    </row>
    <row r="561" ht="35.25" customHeight="1">
      <c r="A561" s="14"/>
      <c r="B561" s="14"/>
      <c r="C561" s="14"/>
    </row>
    <row r="562" ht="35.25" customHeight="1">
      <c r="A562" s="14"/>
      <c r="B562" s="14"/>
      <c r="C562" s="14"/>
    </row>
    <row r="563" ht="35.25" customHeight="1">
      <c r="A563" s="14"/>
      <c r="B563" s="14"/>
      <c r="C563" s="14"/>
    </row>
    <row r="564" ht="35.25" customHeight="1">
      <c r="A564" s="14"/>
      <c r="B564" s="14"/>
      <c r="C564" s="14"/>
    </row>
    <row r="565" ht="35.25" customHeight="1">
      <c r="A565" s="14"/>
      <c r="B565" s="14"/>
      <c r="C565" s="14"/>
    </row>
    <row r="566" ht="35.25" customHeight="1">
      <c r="A566" s="14"/>
      <c r="B566" s="14"/>
      <c r="C566" s="14"/>
    </row>
    <row r="567" ht="35.25" customHeight="1">
      <c r="A567" s="14"/>
      <c r="B567" s="14"/>
      <c r="C567" s="14"/>
    </row>
    <row r="568" ht="35.25" customHeight="1">
      <c r="A568" s="14"/>
      <c r="B568" s="14"/>
      <c r="C568" s="14"/>
    </row>
    <row r="569" ht="35.25" customHeight="1">
      <c r="A569" s="14"/>
      <c r="B569" s="14"/>
      <c r="C569" s="14"/>
    </row>
    <row r="570" ht="35.25" customHeight="1">
      <c r="A570" s="14"/>
      <c r="B570" s="14"/>
      <c r="C570" s="14"/>
    </row>
    <row r="571" ht="35.25" customHeight="1">
      <c r="A571" s="14"/>
      <c r="B571" s="14"/>
      <c r="C571" s="14"/>
    </row>
    <row r="572" ht="35.25" customHeight="1">
      <c r="A572" s="14"/>
      <c r="B572" s="14"/>
      <c r="C572" s="14"/>
    </row>
    <row r="573" ht="35.25" customHeight="1">
      <c r="A573" s="14"/>
      <c r="B573" s="14"/>
      <c r="C573" s="14"/>
    </row>
    <row r="574" ht="35.25" customHeight="1">
      <c r="A574" s="14"/>
      <c r="B574" s="14"/>
      <c r="C574" s="14"/>
    </row>
    <row r="575" ht="35.25" customHeight="1">
      <c r="A575" s="14"/>
      <c r="B575" s="14"/>
      <c r="C575" s="14"/>
    </row>
    <row r="576" ht="35.25" customHeight="1">
      <c r="A576" s="14"/>
      <c r="B576" s="14"/>
      <c r="C576" s="14"/>
    </row>
    <row r="577" ht="35.25" customHeight="1">
      <c r="A577" s="14"/>
      <c r="B577" s="14"/>
      <c r="C577" s="14"/>
    </row>
    <row r="578" ht="35.25" customHeight="1">
      <c r="A578" s="14"/>
      <c r="B578" s="14"/>
      <c r="C578" s="14"/>
    </row>
    <row r="579" ht="35.25" customHeight="1">
      <c r="A579" s="14"/>
      <c r="B579" s="14"/>
      <c r="C579" s="14"/>
    </row>
    <row r="580" ht="35.25" customHeight="1">
      <c r="A580" s="14"/>
      <c r="B580" s="14"/>
      <c r="C580" s="14"/>
    </row>
    <row r="581" ht="35.25" customHeight="1">
      <c r="A581" s="14"/>
      <c r="B581" s="14"/>
      <c r="C581" s="14"/>
    </row>
    <row r="582" ht="35.25" customHeight="1">
      <c r="A582" s="14"/>
      <c r="B582" s="14"/>
      <c r="C582" s="14"/>
    </row>
    <row r="583" ht="35.25" customHeight="1">
      <c r="A583" s="14"/>
      <c r="B583" s="14"/>
      <c r="C583" s="14"/>
    </row>
    <row r="584" ht="35.25" customHeight="1">
      <c r="A584" s="14"/>
      <c r="B584" s="14"/>
      <c r="C584" s="14"/>
    </row>
    <row r="585" ht="35.25" customHeight="1">
      <c r="A585" s="14"/>
      <c r="B585" s="14"/>
      <c r="C585" s="14"/>
    </row>
    <row r="586" ht="35.25" customHeight="1">
      <c r="A586" s="14"/>
      <c r="B586" s="14"/>
      <c r="C586" s="14"/>
    </row>
    <row r="587" ht="35.25" customHeight="1">
      <c r="A587" s="14"/>
      <c r="B587" s="14"/>
      <c r="C587" s="14"/>
    </row>
    <row r="588" ht="35.25" customHeight="1">
      <c r="A588" s="14"/>
      <c r="B588" s="14"/>
      <c r="C588" s="14"/>
    </row>
    <row r="589" ht="35.25" customHeight="1">
      <c r="A589" s="14"/>
      <c r="B589" s="14"/>
      <c r="C589" s="14"/>
    </row>
    <row r="590" ht="35.25" customHeight="1">
      <c r="A590" s="14"/>
      <c r="B590" s="14"/>
      <c r="C590" s="14"/>
    </row>
    <row r="591" ht="35.25" customHeight="1">
      <c r="A591" s="14"/>
      <c r="B591" s="14"/>
      <c r="C591" s="14"/>
    </row>
    <row r="592" ht="35.25" customHeight="1">
      <c r="A592" s="14"/>
      <c r="B592" s="14"/>
      <c r="C592" s="14"/>
    </row>
    <row r="593" ht="35.25" customHeight="1">
      <c r="A593" s="14"/>
      <c r="B593" s="14"/>
      <c r="C593" s="14"/>
    </row>
    <row r="594" ht="35.25" customHeight="1">
      <c r="A594" s="14"/>
      <c r="B594" s="14"/>
      <c r="C594" s="14"/>
    </row>
    <row r="595" ht="35.25" customHeight="1">
      <c r="A595" s="14"/>
      <c r="B595" s="14"/>
      <c r="C595" s="14"/>
    </row>
    <row r="596" ht="35.25" customHeight="1">
      <c r="A596" s="14"/>
      <c r="B596" s="14"/>
      <c r="C596" s="14"/>
    </row>
    <row r="597" ht="35.25" customHeight="1">
      <c r="A597" s="14"/>
      <c r="B597" s="14"/>
      <c r="C597" s="14"/>
    </row>
    <row r="598" ht="35.25" customHeight="1">
      <c r="A598" s="14"/>
      <c r="B598" s="14"/>
      <c r="C598" s="14"/>
    </row>
    <row r="599" ht="35.25" customHeight="1">
      <c r="A599" s="14"/>
      <c r="B599" s="14"/>
      <c r="C599" s="14"/>
    </row>
    <row r="600" ht="35.25" customHeight="1">
      <c r="A600" s="14"/>
      <c r="B600" s="14"/>
      <c r="C600" s="14"/>
    </row>
    <row r="601" ht="35.25" customHeight="1">
      <c r="A601" s="14"/>
      <c r="B601" s="14"/>
      <c r="C601" s="14"/>
    </row>
    <row r="602" ht="35.25" customHeight="1">
      <c r="A602" s="14"/>
      <c r="B602" s="14"/>
      <c r="C602" s="14"/>
    </row>
    <row r="603" ht="35.25" customHeight="1">
      <c r="A603" s="14"/>
      <c r="B603" s="14"/>
      <c r="C603" s="14"/>
    </row>
    <row r="604" ht="35.25" customHeight="1">
      <c r="A604" s="14"/>
      <c r="B604" s="14"/>
      <c r="C604" s="14"/>
    </row>
    <row r="605" ht="35.25" customHeight="1">
      <c r="A605" s="14"/>
      <c r="B605" s="14"/>
      <c r="C605" s="14"/>
    </row>
    <row r="606" ht="35.25" customHeight="1">
      <c r="A606" s="14"/>
      <c r="B606" s="14"/>
      <c r="C606" s="14"/>
    </row>
    <row r="607" ht="35.25" customHeight="1">
      <c r="A607" s="14"/>
      <c r="B607" s="14"/>
      <c r="C607" s="14"/>
    </row>
    <row r="608" ht="35.25" customHeight="1">
      <c r="A608" s="14"/>
      <c r="B608" s="14"/>
      <c r="C608" s="14"/>
    </row>
    <row r="609" ht="35.25" customHeight="1">
      <c r="A609" s="14"/>
      <c r="B609" s="14"/>
      <c r="C609" s="14"/>
    </row>
    <row r="610" ht="35.25" customHeight="1">
      <c r="A610" s="14"/>
      <c r="B610" s="14"/>
      <c r="C610" s="14"/>
    </row>
    <row r="611" ht="35.25" customHeight="1">
      <c r="A611" s="14"/>
      <c r="B611" s="14"/>
      <c r="C611" s="14"/>
    </row>
    <row r="612" ht="35.25" customHeight="1">
      <c r="A612" s="14"/>
      <c r="B612" s="14"/>
      <c r="C612" s="14"/>
    </row>
    <row r="613" ht="35.25" customHeight="1">
      <c r="A613" s="14"/>
      <c r="B613" s="14"/>
      <c r="C613" s="14"/>
    </row>
    <row r="614" ht="35.25" customHeight="1">
      <c r="A614" s="14"/>
      <c r="B614" s="14"/>
      <c r="C614" s="14"/>
    </row>
    <row r="615" ht="35.25" customHeight="1">
      <c r="A615" s="14"/>
      <c r="B615" s="14"/>
      <c r="C615" s="14"/>
    </row>
    <row r="616" ht="35.25" customHeight="1">
      <c r="A616" s="14"/>
      <c r="B616" s="14"/>
      <c r="C616" s="14"/>
    </row>
    <row r="617" ht="35.25" customHeight="1">
      <c r="A617" s="14"/>
      <c r="B617" s="14"/>
      <c r="C617" s="14"/>
    </row>
    <row r="618" ht="35.25" customHeight="1">
      <c r="A618" s="14"/>
      <c r="B618" s="14"/>
      <c r="C618" s="14"/>
    </row>
    <row r="619" ht="35.25" customHeight="1">
      <c r="A619" s="14"/>
      <c r="B619" s="14"/>
      <c r="C619" s="14"/>
    </row>
    <row r="620" ht="35.25" customHeight="1">
      <c r="A620" s="14"/>
      <c r="B620" s="14"/>
      <c r="C620" s="14"/>
    </row>
    <row r="621" ht="35.25" customHeight="1">
      <c r="A621" s="14"/>
      <c r="B621" s="14"/>
      <c r="C621" s="14"/>
    </row>
    <row r="622" ht="35.25" customHeight="1">
      <c r="A622" s="14"/>
      <c r="B622" s="14"/>
      <c r="C622" s="14"/>
    </row>
    <row r="623" ht="35.25" customHeight="1">
      <c r="A623" s="14"/>
      <c r="B623" s="14"/>
      <c r="C623" s="14"/>
    </row>
    <row r="624" ht="35.25" customHeight="1">
      <c r="A624" s="14"/>
      <c r="B624" s="14"/>
      <c r="C624" s="14"/>
    </row>
    <row r="625" ht="35.25" customHeight="1">
      <c r="A625" s="14"/>
      <c r="B625" s="14"/>
      <c r="C625" s="14"/>
    </row>
    <row r="626" ht="35.25" customHeight="1">
      <c r="A626" s="14"/>
      <c r="B626" s="14"/>
      <c r="C626" s="14"/>
    </row>
    <row r="627" ht="35.25" customHeight="1">
      <c r="A627" s="14"/>
      <c r="B627" s="14"/>
      <c r="C627" s="14"/>
    </row>
    <row r="628" ht="35.25" customHeight="1">
      <c r="A628" s="14"/>
      <c r="B628" s="14"/>
      <c r="C628" s="14"/>
    </row>
    <row r="629" ht="35.25" customHeight="1">
      <c r="A629" s="14"/>
      <c r="B629" s="14"/>
      <c r="C629" s="14"/>
    </row>
    <row r="630" ht="35.25" customHeight="1">
      <c r="A630" s="14"/>
      <c r="B630" s="14"/>
      <c r="C630" s="14"/>
    </row>
    <row r="631" ht="35.25" customHeight="1">
      <c r="A631" s="14"/>
      <c r="B631" s="14"/>
      <c r="C631" s="14"/>
    </row>
    <row r="632" ht="35.25" customHeight="1">
      <c r="A632" s="14"/>
      <c r="B632" s="14"/>
      <c r="C632" s="14"/>
    </row>
    <row r="633" ht="35.25" customHeight="1">
      <c r="A633" s="14"/>
      <c r="B633" s="14"/>
      <c r="C633" s="14"/>
    </row>
    <row r="634" ht="35.25" customHeight="1">
      <c r="A634" s="14"/>
      <c r="B634" s="14"/>
      <c r="C634" s="14"/>
    </row>
    <row r="635" ht="35.25" customHeight="1">
      <c r="A635" s="14"/>
      <c r="B635" s="14"/>
      <c r="C635" s="14"/>
    </row>
    <row r="636" ht="35.25" customHeight="1">
      <c r="A636" s="14"/>
      <c r="B636" s="14"/>
      <c r="C636" s="14"/>
    </row>
    <row r="637" ht="35.25" customHeight="1">
      <c r="A637" s="14"/>
      <c r="B637" s="14"/>
      <c r="C637" s="14"/>
    </row>
    <row r="638" ht="35.25" customHeight="1">
      <c r="A638" s="14"/>
      <c r="B638" s="14"/>
      <c r="C638" s="14"/>
    </row>
    <row r="639" ht="35.25" customHeight="1">
      <c r="A639" s="14"/>
      <c r="B639" s="14"/>
      <c r="C639" s="14"/>
    </row>
    <row r="640" ht="35.25" customHeight="1">
      <c r="A640" s="14"/>
      <c r="B640" s="14"/>
      <c r="C640" s="14"/>
    </row>
    <row r="641" ht="35.25" customHeight="1">
      <c r="A641" s="14"/>
      <c r="B641" s="14"/>
      <c r="C641" s="14"/>
    </row>
    <row r="642" ht="35.25" customHeight="1">
      <c r="A642" s="14"/>
      <c r="B642" s="14"/>
      <c r="C642" s="14"/>
    </row>
    <row r="643" ht="35.25" customHeight="1">
      <c r="A643" s="14"/>
      <c r="B643" s="14"/>
      <c r="C643" s="14"/>
    </row>
    <row r="644" ht="35.25" customHeight="1">
      <c r="A644" s="14"/>
      <c r="B644" s="14"/>
      <c r="C644" s="14"/>
    </row>
    <row r="645" ht="35.25" customHeight="1">
      <c r="A645" s="14"/>
      <c r="B645" s="14"/>
      <c r="C645" s="14"/>
    </row>
    <row r="646" ht="35.25" customHeight="1">
      <c r="A646" s="14"/>
      <c r="B646" s="14"/>
      <c r="C646" s="14"/>
    </row>
    <row r="647" ht="35.25" customHeight="1">
      <c r="A647" s="14"/>
      <c r="B647" s="14"/>
      <c r="C647" s="14"/>
    </row>
    <row r="648" ht="35.25" customHeight="1">
      <c r="A648" s="14"/>
      <c r="B648" s="14"/>
      <c r="C648" s="14"/>
    </row>
    <row r="649" ht="35.25" customHeight="1">
      <c r="A649" s="14"/>
      <c r="B649" s="14"/>
      <c r="C649" s="14"/>
    </row>
    <row r="650" ht="35.25" customHeight="1">
      <c r="A650" s="14"/>
      <c r="B650" s="14"/>
      <c r="C650" s="14"/>
    </row>
    <row r="651" ht="35.25" customHeight="1">
      <c r="A651" s="14"/>
      <c r="B651" s="14"/>
      <c r="C651" s="14"/>
    </row>
    <row r="652" ht="35.25" customHeight="1">
      <c r="A652" s="14"/>
      <c r="B652" s="14"/>
      <c r="C652" s="14"/>
    </row>
    <row r="653" ht="35.25" customHeight="1">
      <c r="A653" s="14"/>
      <c r="B653" s="14"/>
      <c r="C653" s="14"/>
    </row>
    <row r="654" ht="35.25" customHeight="1">
      <c r="A654" s="14"/>
      <c r="B654" s="14"/>
      <c r="C654" s="14"/>
    </row>
    <row r="655" ht="35.25" customHeight="1">
      <c r="A655" s="14"/>
      <c r="B655" s="14"/>
      <c r="C655" s="14"/>
    </row>
    <row r="656" ht="35.25" customHeight="1">
      <c r="A656" s="14"/>
      <c r="B656" s="14"/>
      <c r="C656" s="14"/>
    </row>
    <row r="657" ht="35.25" customHeight="1">
      <c r="A657" s="14"/>
      <c r="B657" s="14"/>
      <c r="C657" s="14"/>
    </row>
    <row r="658" ht="35.25" customHeight="1">
      <c r="A658" s="14"/>
      <c r="B658" s="14"/>
      <c r="C658" s="14"/>
    </row>
    <row r="659" ht="35.25" customHeight="1">
      <c r="A659" s="14"/>
      <c r="B659" s="14"/>
      <c r="C659" s="14"/>
    </row>
    <row r="660" ht="35.25" customHeight="1">
      <c r="A660" s="14"/>
      <c r="B660" s="14"/>
      <c r="C660" s="14"/>
    </row>
    <row r="661" ht="35.25" customHeight="1">
      <c r="A661" s="14"/>
      <c r="B661" s="14"/>
      <c r="C661" s="14"/>
    </row>
    <row r="662" ht="35.25" customHeight="1">
      <c r="A662" s="14"/>
      <c r="B662" s="14"/>
      <c r="C662" s="14"/>
    </row>
    <row r="663" ht="35.25" customHeight="1">
      <c r="A663" s="14"/>
      <c r="B663" s="14"/>
      <c r="C663" s="14"/>
    </row>
    <row r="664" ht="35.25" customHeight="1">
      <c r="A664" s="14"/>
      <c r="B664" s="14"/>
      <c r="C664" s="14"/>
    </row>
    <row r="665" ht="35.25" customHeight="1">
      <c r="A665" s="14"/>
      <c r="B665" s="14"/>
      <c r="C665" s="14"/>
    </row>
    <row r="666" ht="35.25" customHeight="1">
      <c r="A666" s="14"/>
      <c r="B666" s="14"/>
      <c r="C666" s="14"/>
    </row>
    <row r="667" ht="35.25" customHeight="1">
      <c r="A667" s="14"/>
      <c r="B667" s="14"/>
      <c r="C667" s="14"/>
    </row>
    <row r="668" ht="35.25" customHeight="1">
      <c r="A668" s="14"/>
      <c r="B668" s="14"/>
      <c r="C668" s="14"/>
    </row>
    <row r="669" ht="35.25" customHeight="1">
      <c r="A669" s="14"/>
      <c r="B669" s="14"/>
      <c r="C669" s="14"/>
    </row>
    <row r="670" ht="35.25" customHeight="1">
      <c r="A670" s="14"/>
      <c r="B670" s="14"/>
      <c r="C670" s="14"/>
    </row>
    <row r="671" ht="35.25" customHeight="1">
      <c r="A671" s="14"/>
      <c r="B671" s="14"/>
      <c r="C671" s="14"/>
    </row>
    <row r="672" ht="35.25" customHeight="1">
      <c r="A672" s="14"/>
      <c r="B672" s="14"/>
      <c r="C672" s="14"/>
    </row>
    <row r="673" ht="35.25" customHeight="1">
      <c r="A673" s="14"/>
      <c r="B673" s="14"/>
      <c r="C673" s="14"/>
    </row>
    <row r="674" ht="35.25" customHeight="1">
      <c r="A674" s="14"/>
      <c r="B674" s="14"/>
      <c r="C674" s="14"/>
    </row>
    <row r="675" ht="35.25" customHeight="1">
      <c r="A675" s="14"/>
      <c r="B675" s="14"/>
      <c r="C675" s="14"/>
    </row>
    <row r="676" ht="35.25" customHeight="1">
      <c r="A676" s="14"/>
      <c r="B676" s="14"/>
      <c r="C676" s="14"/>
    </row>
    <row r="677" ht="35.25" customHeight="1">
      <c r="A677" s="14"/>
      <c r="B677" s="14"/>
      <c r="C677" s="14"/>
    </row>
    <row r="678" ht="35.25" customHeight="1">
      <c r="A678" s="14"/>
      <c r="B678" s="14"/>
      <c r="C678" s="14"/>
    </row>
    <row r="679" ht="35.25" customHeight="1">
      <c r="A679" s="14"/>
      <c r="B679" s="14"/>
      <c r="C679" s="14"/>
    </row>
    <row r="680" ht="35.25" customHeight="1">
      <c r="A680" s="14"/>
      <c r="B680" s="14"/>
      <c r="C680" s="14"/>
    </row>
    <row r="681" ht="35.25" customHeight="1">
      <c r="A681" s="14"/>
      <c r="B681" s="14"/>
      <c r="C681" s="14"/>
    </row>
    <row r="682" ht="35.25" customHeight="1">
      <c r="A682" s="14"/>
      <c r="B682" s="14"/>
      <c r="C682" s="14"/>
    </row>
    <row r="683" ht="35.25" customHeight="1">
      <c r="A683" s="14"/>
      <c r="B683" s="14"/>
      <c r="C683" s="14"/>
    </row>
    <row r="684" ht="35.25" customHeight="1">
      <c r="A684" s="14"/>
      <c r="B684" s="14"/>
      <c r="C684" s="14"/>
    </row>
    <row r="685" ht="35.25" customHeight="1">
      <c r="A685" s="14"/>
      <c r="B685" s="14"/>
      <c r="C685" s="14"/>
    </row>
    <row r="686" ht="35.25" customHeight="1">
      <c r="A686" s="14"/>
      <c r="B686" s="14"/>
      <c r="C686" s="14"/>
    </row>
    <row r="687" ht="35.25" customHeight="1">
      <c r="A687" s="14"/>
      <c r="B687" s="14"/>
      <c r="C687" s="14"/>
    </row>
    <row r="688" ht="35.25" customHeight="1">
      <c r="A688" s="14"/>
      <c r="B688" s="14"/>
      <c r="C688" s="14"/>
    </row>
    <row r="689" ht="35.25" customHeight="1">
      <c r="A689" s="14"/>
      <c r="B689" s="14"/>
      <c r="C689" s="14"/>
    </row>
    <row r="690" ht="35.25" customHeight="1">
      <c r="A690" s="14"/>
      <c r="B690" s="14"/>
      <c r="C690" s="14"/>
    </row>
    <row r="691" ht="35.25" customHeight="1">
      <c r="A691" s="14"/>
      <c r="B691" s="14"/>
      <c r="C691" s="14"/>
    </row>
    <row r="692" ht="35.25" customHeight="1">
      <c r="A692" s="14"/>
      <c r="B692" s="14"/>
      <c r="C692" s="14"/>
    </row>
    <row r="693" ht="35.25" customHeight="1">
      <c r="A693" s="14"/>
      <c r="B693" s="14"/>
      <c r="C693" s="14"/>
    </row>
    <row r="694" ht="35.25" customHeight="1">
      <c r="A694" s="14"/>
      <c r="B694" s="14"/>
      <c r="C694" s="14"/>
    </row>
    <row r="695" ht="35.25" customHeight="1">
      <c r="A695" s="14"/>
      <c r="B695" s="14"/>
      <c r="C695" s="14"/>
    </row>
    <row r="696" ht="35.25" customHeight="1">
      <c r="A696" s="14"/>
      <c r="B696" s="14"/>
      <c r="C696" s="14"/>
    </row>
    <row r="697" ht="35.25" customHeight="1">
      <c r="A697" s="14"/>
      <c r="B697" s="14"/>
      <c r="C697" s="14"/>
    </row>
    <row r="698" ht="35.25" customHeight="1">
      <c r="A698" s="14"/>
      <c r="B698" s="14"/>
      <c r="C698" s="14"/>
    </row>
    <row r="699" ht="35.25" customHeight="1">
      <c r="A699" s="14"/>
      <c r="B699" s="14"/>
      <c r="C699" s="14"/>
    </row>
    <row r="700" ht="35.25" customHeight="1">
      <c r="A700" s="14"/>
      <c r="B700" s="14"/>
      <c r="C700" s="14"/>
    </row>
    <row r="701" ht="35.25" customHeight="1">
      <c r="A701" s="14"/>
      <c r="B701" s="14"/>
      <c r="C701" s="14"/>
    </row>
    <row r="702" ht="35.25" customHeight="1">
      <c r="A702" s="14"/>
      <c r="B702" s="14"/>
      <c r="C702" s="14"/>
    </row>
    <row r="703" ht="35.25" customHeight="1">
      <c r="A703" s="14"/>
      <c r="B703" s="14"/>
      <c r="C703" s="14"/>
    </row>
    <row r="704" ht="35.25" customHeight="1">
      <c r="A704" s="14"/>
      <c r="B704" s="14"/>
      <c r="C704" s="14"/>
    </row>
    <row r="705" ht="35.25" customHeight="1">
      <c r="A705" s="14"/>
      <c r="B705" s="14"/>
      <c r="C705" s="14"/>
    </row>
    <row r="706" ht="35.25" customHeight="1">
      <c r="A706" s="14"/>
      <c r="B706" s="14"/>
      <c r="C706" s="14"/>
    </row>
    <row r="707" ht="35.25" customHeight="1">
      <c r="A707" s="14"/>
      <c r="B707" s="14"/>
      <c r="C707" s="14"/>
    </row>
    <row r="708" ht="35.25" customHeight="1">
      <c r="A708" s="14"/>
      <c r="B708" s="14"/>
      <c r="C708" s="14"/>
    </row>
    <row r="709" ht="35.25" customHeight="1">
      <c r="A709" s="14"/>
      <c r="B709" s="14"/>
      <c r="C709" s="14"/>
    </row>
    <row r="710" ht="35.25" customHeight="1">
      <c r="A710" s="14"/>
      <c r="B710" s="14"/>
      <c r="C710" s="14"/>
    </row>
    <row r="711" ht="35.25" customHeight="1">
      <c r="A711" s="14"/>
      <c r="B711" s="14"/>
      <c r="C711" s="14"/>
    </row>
    <row r="712" ht="35.25" customHeight="1">
      <c r="A712" s="14"/>
      <c r="B712" s="14"/>
      <c r="C712" s="14"/>
    </row>
    <row r="713" ht="35.25" customHeight="1">
      <c r="A713" s="14"/>
      <c r="B713" s="14"/>
      <c r="C713" s="14"/>
    </row>
    <row r="714" ht="35.25" customHeight="1">
      <c r="A714" s="14"/>
      <c r="B714" s="14"/>
      <c r="C714" s="14"/>
    </row>
    <row r="715" ht="35.25" customHeight="1">
      <c r="A715" s="14"/>
      <c r="B715" s="14"/>
      <c r="C715" s="14"/>
    </row>
    <row r="716" ht="35.25" customHeight="1">
      <c r="A716" s="14"/>
      <c r="B716" s="14"/>
      <c r="C716" s="14"/>
    </row>
    <row r="717" ht="35.25" customHeight="1">
      <c r="A717" s="14"/>
      <c r="B717" s="14"/>
      <c r="C717" s="14"/>
    </row>
    <row r="718" ht="35.25" customHeight="1">
      <c r="A718" s="14"/>
      <c r="B718" s="14"/>
      <c r="C718" s="14"/>
    </row>
    <row r="719" ht="35.25" customHeight="1">
      <c r="A719" s="14"/>
      <c r="B719" s="14"/>
      <c r="C719" s="14"/>
    </row>
    <row r="720" ht="35.25" customHeight="1">
      <c r="A720" s="14"/>
      <c r="B720" s="14"/>
      <c r="C720" s="14"/>
    </row>
    <row r="721" ht="35.25" customHeight="1">
      <c r="A721" s="14"/>
      <c r="B721" s="14"/>
      <c r="C721" s="14"/>
    </row>
    <row r="722" ht="35.25" customHeight="1">
      <c r="A722" s="14"/>
      <c r="B722" s="14"/>
      <c r="C722" s="14"/>
    </row>
    <row r="723" ht="35.25" customHeight="1">
      <c r="A723" s="14"/>
      <c r="B723" s="14"/>
      <c r="C723" s="14"/>
    </row>
    <row r="724" ht="35.25" customHeight="1">
      <c r="A724" s="14"/>
      <c r="B724" s="14"/>
      <c r="C724" s="14"/>
    </row>
    <row r="725" ht="35.25" customHeight="1">
      <c r="A725" s="14"/>
      <c r="B725" s="14"/>
      <c r="C725" s="14"/>
    </row>
    <row r="726" ht="35.25" customHeight="1">
      <c r="A726" s="14"/>
      <c r="B726" s="14"/>
      <c r="C726" s="14"/>
    </row>
    <row r="727" ht="35.25" customHeight="1">
      <c r="A727" s="14"/>
      <c r="B727" s="14"/>
      <c r="C727" s="14"/>
    </row>
    <row r="728" ht="35.25" customHeight="1">
      <c r="A728" s="14"/>
      <c r="B728" s="14"/>
      <c r="C728" s="14"/>
    </row>
    <row r="729" ht="35.25" customHeight="1">
      <c r="A729" s="14"/>
      <c r="B729" s="14"/>
      <c r="C729" s="14"/>
    </row>
    <row r="730" ht="35.25" customHeight="1">
      <c r="A730" s="14"/>
      <c r="B730" s="14"/>
      <c r="C730" s="14"/>
    </row>
    <row r="731" ht="35.25" customHeight="1">
      <c r="A731" s="14"/>
      <c r="B731" s="14"/>
      <c r="C731" s="14"/>
    </row>
    <row r="732" ht="35.25" customHeight="1">
      <c r="A732" s="14"/>
      <c r="B732" s="14"/>
      <c r="C732" s="14"/>
    </row>
    <row r="733" ht="35.25" customHeight="1">
      <c r="A733" s="14"/>
      <c r="B733" s="14"/>
      <c r="C733" s="14"/>
    </row>
    <row r="734" ht="35.25" customHeight="1">
      <c r="A734" s="14"/>
      <c r="B734" s="14"/>
      <c r="C734" s="14"/>
    </row>
    <row r="735" ht="35.25" customHeight="1">
      <c r="A735" s="14"/>
      <c r="B735" s="14"/>
      <c r="C735" s="14"/>
    </row>
    <row r="736" ht="35.25" customHeight="1">
      <c r="A736" s="14"/>
      <c r="B736" s="14"/>
      <c r="C736" s="14"/>
    </row>
    <row r="737" ht="35.25" customHeight="1">
      <c r="A737" s="14"/>
      <c r="B737" s="14"/>
      <c r="C737" s="14"/>
    </row>
    <row r="738" ht="35.25" customHeight="1">
      <c r="A738" s="14"/>
      <c r="B738" s="14"/>
      <c r="C738" s="14"/>
    </row>
    <row r="739" ht="35.25" customHeight="1">
      <c r="A739" s="14"/>
      <c r="B739" s="14"/>
      <c r="C739" s="14"/>
    </row>
    <row r="740" ht="35.25" customHeight="1">
      <c r="A740" s="14"/>
      <c r="B740" s="14"/>
      <c r="C740" s="14"/>
    </row>
    <row r="741" ht="35.25" customHeight="1">
      <c r="A741" s="14"/>
      <c r="B741" s="14"/>
      <c r="C741" s="14"/>
    </row>
    <row r="742" ht="35.25" customHeight="1">
      <c r="A742" s="14"/>
      <c r="B742" s="14"/>
      <c r="C742" s="14"/>
    </row>
    <row r="743" ht="35.25" customHeight="1">
      <c r="A743" s="14"/>
      <c r="B743" s="14"/>
      <c r="C743" s="14"/>
    </row>
    <row r="744" ht="35.25" customHeight="1">
      <c r="A744" s="14"/>
      <c r="B744" s="14"/>
      <c r="C744" s="14"/>
    </row>
    <row r="745" ht="35.25" customHeight="1">
      <c r="A745" s="14"/>
      <c r="B745" s="14"/>
      <c r="C745" s="14"/>
    </row>
    <row r="746" ht="35.25" customHeight="1">
      <c r="A746" s="14"/>
      <c r="B746" s="14"/>
      <c r="C746" s="14"/>
    </row>
    <row r="747" ht="35.25" customHeight="1">
      <c r="A747" s="14"/>
      <c r="B747" s="14"/>
      <c r="C747" s="14"/>
    </row>
    <row r="748" ht="35.25" customHeight="1">
      <c r="A748" s="14"/>
      <c r="B748" s="14"/>
      <c r="C748" s="14"/>
    </row>
    <row r="749" ht="35.25" customHeight="1">
      <c r="A749" s="14"/>
      <c r="B749" s="14"/>
      <c r="C749" s="14"/>
    </row>
    <row r="750" ht="35.25" customHeight="1">
      <c r="A750" s="14"/>
      <c r="B750" s="14"/>
      <c r="C750" s="14"/>
    </row>
    <row r="751" ht="35.25" customHeight="1">
      <c r="A751" s="14"/>
      <c r="B751" s="14"/>
      <c r="C751" s="14"/>
    </row>
    <row r="752" ht="35.25" customHeight="1">
      <c r="A752" s="14"/>
      <c r="B752" s="14"/>
      <c r="C752" s="14"/>
    </row>
    <row r="753" ht="35.25" customHeight="1">
      <c r="A753" s="14"/>
      <c r="B753" s="14"/>
      <c r="C753" s="14"/>
    </row>
    <row r="754" ht="35.25" customHeight="1">
      <c r="A754" s="14"/>
      <c r="B754" s="14"/>
      <c r="C754" s="14"/>
    </row>
    <row r="755" ht="35.25" customHeight="1">
      <c r="A755" s="14"/>
      <c r="B755" s="14"/>
      <c r="C755" s="14"/>
    </row>
    <row r="756" ht="35.25" customHeight="1">
      <c r="A756" s="14"/>
      <c r="B756" s="14"/>
      <c r="C756" s="14"/>
    </row>
    <row r="757" ht="35.25" customHeight="1">
      <c r="A757" s="14"/>
      <c r="B757" s="14"/>
      <c r="C757" s="14"/>
    </row>
    <row r="758" ht="35.25" customHeight="1">
      <c r="A758" s="14"/>
      <c r="B758" s="14"/>
      <c r="C758" s="14"/>
    </row>
    <row r="759" ht="35.25" customHeight="1">
      <c r="A759" s="14"/>
      <c r="B759" s="14"/>
      <c r="C759" s="14"/>
    </row>
    <row r="760" ht="35.25" customHeight="1">
      <c r="A760" s="14"/>
      <c r="B760" s="14"/>
      <c r="C760" s="14"/>
    </row>
    <row r="761" ht="35.25" customHeight="1">
      <c r="A761" s="14"/>
      <c r="B761" s="14"/>
      <c r="C761" s="14"/>
    </row>
    <row r="762" ht="35.25" customHeight="1">
      <c r="A762" s="14"/>
      <c r="B762" s="14"/>
      <c r="C762" s="14"/>
    </row>
    <row r="763" ht="35.25" customHeight="1">
      <c r="A763" s="14"/>
      <c r="B763" s="14"/>
      <c r="C763" s="14"/>
    </row>
    <row r="764" ht="35.25" customHeight="1">
      <c r="A764" s="14"/>
      <c r="B764" s="14"/>
      <c r="C764" s="14"/>
    </row>
    <row r="765" ht="35.25" customHeight="1">
      <c r="A765" s="14"/>
      <c r="B765" s="14"/>
      <c r="C765" s="14"/>
    </row>
    <row r="766" ht="35.25" customHeight="1">
      <c r="A766" s="14"/>
      <c r="B766" s="14"/>
      <c r="C766" s="14"/>
    </row>
    <row r="767" ht="35.25" customHeight="1">
      <c r="A767" s="14"/>
      <c r="B767" s="14"/>
      <c r="C767" s="14"/>
    </row>
    <row r="768" ht="35.25" customHeight="1">
      <c r="A768" s="14"/>
      <c r="B768" s="14"/>
      <c r="C768" s="14"/>
    </row>
    <row r="769" ht="35.25" customHeight="1">
      <c r="A769" s="14"/>
      <c r="B769" s="14"/>
      <c r="C769" s="14"/>
    </row>
    <row r="770" ht="35.25" customHeight="1">
      <c r="A770" s="14"/>
      <c r="B770" s="14"/>
      <c r="C770" s="14"/>
    </row>
    <row r="771" ht="35.25" customHeight="1">
      <c r="A771" s="14"/>
      <c r="B771" s="14"/>
      <c r="C771" s="14"/>
    </row>
    <row r="772" ht="35.25" customHeight="1">
      <c r="A772" s="14"/>
      <c r="B772" s="14"/>
      <c r="C772" s="14"/>
    </row>
    <row r="773" ht="35.25" customHeight="1">
      <c r="A773" s="14"/>
      <c r="B773" s="14"/>
      <c r="C773" s="14"/>
    </row>
    <row r="774" ht="35.25" customHeight="1">
      <c r="A774" s="14"/>
      <c r="B774" s="14"/>
      <c r="C774" s="14"/>
    </row>
    <row r="775" ht="35.25" customHeight="1">
      <c r="A775" s="14"/>
      <c r="B775" s="14"/>
      <c r="C775" s="14"/>
    </row>
    <row r="776" ht="35.25" customHeight="1">
      <c r="A776" s="14"/>
      <c r="B776" s="14"/>
      <c r="C776" s="14"/>
    </row>
    <row r="777" ht="35.25" customHeight="1">
      <c r="A777" s="14"/>
      <c r="B777" s="14"/>
      <c r="C777" s="14"/>
    </row>
    <row r="778" ht="35.25" customHeight="1">
      <c r="A778" s="14"/>
      <c r="B778" s="14"/>
      <c r="C778" s="14"/>
    </row>
    <row r="779" ht="35.25" customHeight="1">
      <c r="A779" s="14"/>
      <c r="B779" s="14"/>
      <c r="C779" s="14"/>
    </row>
    <row r="780" ht="35.25" customHeight="1">
      <c r="A780" s="14"/>
      <c r="B780" s="14"/>
      <c r="C780" s="14"/>
    </row>
    <row r="781" ht="35.25" customHeight="1">
      <c r="A781" s="14"/>
      <c r="B781" s="14"/>
      <c r="C781" s="14"/>
    </row>
    <row r="782" ht="35.25" customHeight="1">
      <c r="A782" s="14"/>
      <c r="B782" s="14"/>
      <c r="C782" s="14"/>
    </row>
    <row r="783" ht="35.25" customHeight="1">
      <c r="A783" s="14"/>
      <c r="B783" s="14"/>
      <c r="C783" s="14"/>
    </row>
    <row r="784" ht="35.25" customHeight="1">
      <c r="A784" s="14"/>
      <c r="B784" s="14"/>
      <c r="C784" s="14"/>
    </row>
    <row r="785" ht="35.25" customHeight="1">
      <c r="A785" s="14"/>
      <c r="B785" s="14"/>
      <c r="C785" s="14"/>
    </row>
    <row r="786" ht="35.25" customHeight="1">
      <c r="A786" s="14"/>
      <c r="B786" s="14"/>
      <c r="C786" s="14"/>
    </row>
    <row r="787" ht="35.25" customHeight="1">
      <c r="A787" s="14"/>
      <c r="B787" s="14"/>
      <c r="C787" s="14"/>
    </row>
    <row r="788" ht="35.25" customHeight="1">
      <c r="A788" s="14"/>
      <c r="B788" s="14"/>
      <c r="C788" s="14"/>
    </row>
    <row r="789" ht="35.25" customHeight="1">
      <c r="A789" s="14"/>
      <c r="B789" s="14"/>
      <c r="C789" s="14"/>
    </row>
    <row r="790" ht="35.25" customHeight="1">
      <c r="A790" s="14"/>
      <c r="B790" s="14"/>
      <c r="C790" s="14"/>
    </row>
    <row r="791" ht="35.25" customHeight="1">
      <c r="A791" s="14"/>
      <c r="B791" s="14"/>
      <c r="C791" s="14"/>
    </row>
    <row r="792" ht="35.25" customHeight="1">
      <c r="A792" s="14"/>
      <c r="B792" s="14"/>
      <c r="C792" s="14"/>
    </row>
    <row r="793" ht="35.25" customHeight="1">
      <c r="A793" s="14"/>
      <c r="B793" s="14"/>
      <c r="C793" s="14"/>
    </row>
    <row r="794" ht="35.25" customHeight="1">
      <c r="A794" s="14"/>
      <c r="B794" s="14"/>
      <c r="C794" s="14"/>
    </row>
    <row r="795" ht="35.25" customHeight="1">
      <c r="A795" s="14"/>
      <c r="B795" s="14"/>
      <c r="C795" s="14"/>
    </row>
    <row r="796" ht="35.25" customHeight="1">
      <c r="A796" s="14"/>
      <c r="B796" s="14"/>
      <c r="C796" s="14"/>
    </row>
    <row r="797" ht="35.25" customHeight="1">
      <c r="A797" s="14"/>
      <c r="B797" s="14"/>
      <c r="C797" s="14"/>
    </row>
    <row r="798" ht="35.25" customHeight="1">
      <c r="A798" s="14"/>
      <c r="B798" s="14"/>
      <c r="C798" s="14"/>
    </row>
    <row r="799" ht="35.25" customHeight="1">
      <c r="A799" s="14"/>
      <c r="B799" s="14"/>
      <c r="C799" s="14"/>
    </row>
    <row r="800" ht="35.25" customHeight="1">
      <c r="A800" s="14"/>
      <c r="B800" s="14"/>
      <c r="C800" s="14"/>
    </row>
    <row r="801" ht="35.25" customHeight="1">
      <c r="A801" s="14"/>
      <c r="B801" s="14"/>
      <c r="C801" s="14"/>
    </row>
    <row r="802" ht="35.25" customHeight="1">
      <c r="A802" s="14"/>
      <c r="B802" s="14"/>
      <c r="C802" s="14"/>
    </row>
    <row r="803" ht="35.25" customHeight="1">
      <c r="A803" s="14"/>
      <c r="B803" s="14"/>
      <c r="C803" s="14"/>
    </row>
    <row r="804" ht="35.25" customHeight="1">
      <c r="A804" s="14"/>
      <c r="B804" s="14"/>
      <c r="C804" s="14"/>
    </row>
    <row r="805" ht="35.25" customHeight="1">
      <c r="A805" s="14"/>
      <c r="B805" s="14"/>
      <c r="C805" s="14"/>
    </row>
    <row r="806" ht="35.25" customHeight="1">
      <c r="A806" s="14"/>
      <c r="B806" s="14"/>
      <c r="C806" s="14"/>
    </row>
    <row r="807" ht="35.25" customHeight="1">
      <c r="A807" s="14"/>
      <c r="B807" s="14"/>
      <c r="C807" s="14"/>
    </row>
    <row r="808" ht="35.25" customHeight="1">
      <c r="A808" s="14"/>
      <c r="B808" s="14"/>
      <c r="C808" s="14"/>
    </row>
    <row r="809" ht="35.25" customHeight="1">
      <c r="A809" s="14"/>
      <c r="B809" s="14"/>
      <c r="C809" s="14"/>
    </row>
    <row r="810" ht="35.25" customHeight="1">
      <c r="A810" s="14"/>
      <c r="B810" s="14"/>
      <c r="C810" s="14"/>
    </row>
    <row r="811" ht="35.25" customHeight="1">
      <c r="A811" s="14"/>
      <c r="B811" s="14"/>
      <c r="C811" s="14"/>
    </row>
    <row r="812" ht="35.25" customHeight="1">
      <c r="A812" s="14"/>
      <c r="B812" s="14"/>
      <c r="C812" s="14"/>
    </row>
    <row r="813" ht="35.25" customHeight="1">
      <c r="A813" s="14"/>
      <c r="B813" s="14"/>
      <c r="C813" s="14"/>
    </row>
    <row r="814" ht="35.25" customHeight="1">
      <c r="A814" s="14"/>
      <c r="B814" s="14"/>
      <c r="C814" s="14"/>
    </row>
    <row r="815" ht="35.25" customHeight="1">
      <c r="A815" s="14"/>
      <c r="B815" s="14"/>
      <c r="C815" s="14"/>
    </row>
    <row r="816" ht="35.25" customHeight="1">
      <c r="A816" s="14"/>
      <c r="B816" s="14"/>
      <c r="C816" s="14"/>
    </row>
    <row r="817" ht="35.25" customHeight="1">
      <c r="A817" s="14"/>
      <c r="B817" s="14"/>
      <c r="C817" s="14"/>
    </row>
    <row r="818" ht="35.25" customHeight="1">
      <c r="A818" s="14"/>
      <c r="B818" s="14"/>
      <c r="C818" s="14"/>
    </row>
    <row r="819" ht="35.25" customHeight="1">
      <c r="A819" s="14"/>
      <c r="B819" s="14"/>
      <c r="C819" s="14"/>
    </row>
    <row r="820" ht="35.25" customHeight="1">
      <c r="A820" s="14"/>
      <c r="B820" s="14"/>
      <c r="C820" s="14"/>
    </row>
    <row r="821" ht="35.25" customHeight="1">
      <c r="A821" s="14"/>
      <c r="B821" s="14"/>
      <c r="C821" s="14"/>
    </row>
    <row r="822" ht="35.25" customHeight="1">
      <c r="A822" s="14"/>
      <c r="B822" s="14"/>
      <c r="C822" s="14"/>
    </row>
    <row r="823" ht="35.25" customHeight="1">
      <c r="A823" s="14"/>
      <c r="B823" s="14"/>
      <c r="C823" s="14"/>
    </row>
    <row r="824" ht="35.25" customHeight="1">
      <c r="A824" s="14"/>
      <c r="B824" s="14"/>
      <c r="C824" s="14"/>
    </row>
    <row r="825" ht="35.25" customHeight="1">
      <c r="A825" s="14"/>
      <c r="B825" s="14"/>
      <c r="C825" s="14"/>
    </row>
    <row r="826" ht="35.25" customHeight="1">
      <c r="A826" s="14"/>
      <c r="B826" s="14"/>
      <c r="C826" s="14"/>
    </row>
    <row r="827" ht="35.25" customHeight="1">
      <c r="A827" s="14"/>
      <c r="B827" s="14"/>
      <c r="C827" s="14"/>
    </row>
    <row r="828" ht="35.25" customHeight="1">
      <c r="A828" s="14"/>
      <c r="B828" s="14"/>
      <c r="C828" s="14"/>
    </row>
    <row r="829" ht="35.25" customHeight="1">
      <c r="A829" s="14"/>
      <c r="B829" s="14"/>
      <c r="C829" s="14"/>
    </row>
    <row r="830" ht="35.25" customHeight="1">
      <c r="A830" s="14"/>
      <c r="B830" s="14"/>
      <c r="C830" s="14"/>
    </row>
    <row r="831" ht="35.25" customHeight="1">
      <c r="A831" s="14"/>
      <c r="B831" s="14"/>
      <c r="C831" s="14"/>
    </row>
    <row r="832" ht="35.25" customHeight="1">
      <c r="A832" s="14"/>
      <c r="B832" s="14"/>
      <c r="C832" s="14"/>
    </row>
    <row r="833" ht="35.25" customHeight="1">
      <c r="A833" s="14"/>
      <c r="B833" s="14"/>
      <c r="C833" s="14"/>
    </row>
    <row r="834" ht="35.25" customHeight="1">
      <c r="A834" s="14"/>
      <c r="B834" s="14"/>
      <c r="C834" s="14"/>
    </row>
    <row r="835" ht="35.25" customHeight="1">
      <c r="A835" s="14"/>
      <c r="B835" s="14"/>
      <c r="C835" s="14"/>
    </row>
    <row r="836" ht="35.25" customHeight="1">
      <c r="A836" s="14"/>
      <c r="B836" s="14"/>
      <c r="C836" s="14"/>
    </row>
    <row r="837" ht="35.25" customHeight="1">
      <c r="A837" s="14"/>
      <c r="B837" s="14"/>
      <c r="C837" s="14"/>
    </row>
    <row r="838" ht="35.25" customHeight="1">
      <c r="A838" s="14"/>
      <c r="B838" s="14"/>
      <c r="C838" s="14"/>
    </row>
    <row r="839" ht="35.25" customHeight="1">
      <c r="A839" s="14"/>
      <c r="B839" s="14"/>
      <c r="C839" s="14"/>
    </row>
    <row r="840" ht="35.25" customHeight="1">
      <c r="A840" s="14"/>
      <c r="B840" s="14"/>
      <c r="C840" s="14"/>
    </row>
    <row r="841" ht="35.25" customHeight="1">
      <c r="A841" s="14"/>
      <c r="B841" s="14"/>
      <c r="C841" s="14"/>
    </row>
    <row r="842" ht="35.25" customHeight="1">
      <c r="A842" s="14"/>
      <c r="B842" s="14"/>
      <c r="C842" s="14"/>
    </row>
    <row r="843" ht="35.25" customHeight="1">
      <c r="A843" s="14"/>
      <c r="B843" s="14"/>
      <c r="C843" s="14"/>
    </row>
    <row r="844" ht="35.25" customHeight="1">
      <c r="A844" s="14"/>
      <c r="B844" s="14"/>
      <c r="C844" s="14"/>
    </row>
    <row r="845" ht="35.25" customHeight="1">
      <c r="A845" s="14"/>
      <c r="B845" s="14"/>
      <c r="C845" s="14"/>
    </row>
    <row r="846" ht="35.25" customHeight="1">
      <c r="A846" s="14"/>
      <c r="B846" s="14"/>
      <c r="C846" s="14"/>
    </row>
    <row r="847" ht="35.25" customHeight="1">
      <c r="A847" s="14"/>
      <c r="B847" s="14"/>
      <c r="C847" s="14"/>
    </row>
    <row r="848" ht="35.25" customHeight="1">
      <c r="A848" s="14"/>
      <c r="B848" s="14"/>
      <c r="C848" s="14"/>
    </row>
    <row r="849" ht="35.25" customHeight="1">
      <c r="A849" s="14"/>
      <c r="B849" s="14"/>
      <c r="C849" s="14"/>
    </row>
    <row r="850" ht="35.25" customHeight="1">
      <c r="A850" s="14"/>
      <c r="B850" s="14"/>
      <c r="C850" s="14"/>
    </row>
    <row r="851" ht="35.25" customHeight="1">
      <c r="A851" s="14"/>
      <c r="B851" s="14"/>
      <c r="C851" s="14"/>
    </row>
    <row r="852" ht="35.25" customHeight="1">
      <c r="A852" s="14"/>
      <c r="B852" s="14"/>
      <c r="C852" s="14"/>
    </row>
    <row r="853" ht="35.25" customHeight="1">
      <c r="A853" s="14"/>
      <c r="B853" s="14"/>
      <c r="C853" s="14"/>
    </row>
    <row r="854" ht="35.25" customHeight="1">
      <c r="A854" s="14"/>
      <c r="B854" s="14"/>
      <c r="C854" s="14"/>
    </row>
    <row r="855" ht="35.25" customHeight="1">
      <c r="A855" s="14"/>
      <c r="B855" s="14"/>
      <c r="C855" s="14"/>
    </row>
    <row r="856" ht="35.25" customHeight="1">
      <c r="A856" s="14"/>
      <c r="B856" s="14"/>
      <c r="C856" s="14"/>
    </row>
    <row r="857" ht="35.25" customHeight="1">
      <c r="A857" s="14"/>
      <c r="B857" s="14"/>
      <c r="C857" s="14"/>
    </row>
    <row r="858" ht="35.25" customHeight="1">
      <c r="A858" s="14"/>
      <c r="B858" s="14"/>
      <c r="C858" s="14"/>
    </row>
    <row r="859" ht="35.25" customHeight="1">
      <c r="A859" s="14"/>
      <c r="B859" s="14"/>
      <c r="C859" s="14"/>
    </row>
    <row r="860" ht="35.25" customHeight="1">
      <c r="A860" s="14"/>
      <c r="B860" s="14"/>
      <c r="C860" s="14"/>
    </row>
    <row r="861" ht="35.25" customHeight="1">
      <c r="A861" s="14"/>
      <c r="B861" s="14"/>
      <c r="C861" s="14"/>
    </row>
    <row r="862" ht="35.25" customHeight="1">
      <c r="A862" s="14"/>
      <c r="B862" s="14"/>
      <c r="C862" s="14"/>
    </row>
    <row r="863" ht="35.25" customHeight="1">
      <c r="A863" s="14"/>
      <c r="B863" s="14"/>
      <c r="C863" s="14"/>
    </row>
    <row r="864" ht="35.25" customHeight="1">
      <c r="A864" s="14"/>
      <c r="B864" s="14"/>
      <c r="C864" s="14"/>
    </row>
    <row r="865" ht="35.25" customHeight="1">
      <c r="A865" s="14"/>
      <c r="B865" s="14"/>
      <c r="C865" s="14"/>
    </row>
    <row r="866" ht="35.25" customHeight="1">
      <c r="A866" s="14"/>
      <c r="B866" s="14"/>
      <c r="C866" s="14"/>
    </row>
    <row r="867" ht="35.25" customHeight="1">
      <c r="A867" s="14"/>
      <c r="B867" s="14"/>
      <c r="C867" s="14"/>
    </row>
    <row r="868" ht="35.25" customHeight="1">
      <c r="A868" s="14"/>
      <c r="B868" s="14"/>
      <c r="C868" s="14"/>
    </row>
    <row r="869" ht="35.25" customHeight="1">
      <c r="A869" s="14"/>
      <c r="B869" s="14"/>
      <c r="C869" s="14"/>
    </row>
    <row r="870" ht="35.25" customHeight="1">
      <c r="A870" s="14"/>
      <c r="B870" s="14"/>
      <c r="C870" s="14"/>
    </row>
    <row r="871" ht="35.25" customHeight="1">
      <c r="A871" s="14"/>
      <c r="B871" s="14"/>
      <c r="C871" s="14"/>
    </row>
    <row r="872" ht="35.25" customHeight="1">
      <c r="A872" s="14"/>
      <c r="B872" s="14"/>
      <c r="C872" s="14"/>
    </row>
    <row r="873" ht="35.25" customHeight="1">
      <c r="A873" s="14"/>
      <c r="B873" s="14"/>
      <c r="C873" s="14"/>
    </row>
    <row r="874" ht="35.25" customHeight="1">
      <c r="A874" s="14"/>
      <c r="B874" s="14"/>
      <c r="C874" s="14"/>
    </row>
    <row r="875" ht="35.25" customHeight="1">
      <c r="A875" s="14"/>
      <c r="B875" s="14"/>
      <c r="C875" s="14"/>
    </row>
    <row r="876" ht="35.25" customHeight="1">
      <c r="A876" s="14"/>
      <c r="B876" s="14"/>
      <c r="C876" s="14"/>
    </row>
    <row r="877" ht="35.25" customHeight="1">
      <c r="A877" s="14"/>
      <c r="B877" s="14"/>
      <c r="C877" s="14"/>
    </row>
    <row r="878" ht="35.25" customHeight="1">
      <c r="A878" s="14"/>
      <c r="B878" s="14"/>
      <c r="C878" s="14"/>
    </row>
    <row r="879" ht="35.25" customHeight="1">
      <c r="A879" s="14"/>
      <c r="B879" s="14"/>
      <c r="C879" s="14"/>
    </row>
    <row r="880" ht="35.25" customHeight="1">
      <c r="A880" s="14"/>
      <c r="B880" s="14"/>
      <c r="C880" s="14"/>
    </row>
    <row r="881" ht="35.25" customHeight="1">
      <c r="A881" s="14"/>
      <c r="B881" s="14"/>
      <c r="C881" s="14"/>
    </row>
    <row r="882" ht="35.25" customHeight="1">
      <c r="A882" s="14"/>
      <c r="B882" s="14"/>
      <c r="C882" s="14"/>
    </row>
    <row r="883" ht="35.25" customHeight="1">
      <c r="A883" s="14"/>
      <c r="B883" s="14"/>
      <c r="C883" s="14"/>
    </row>
    <row r="884" ht="35.25" customHeight="1">
      <c r="A884" s="14"/>
      <c r="B884" s="14"/>
      <c r="C884" s="14"/>
    </row>
    <row r="885" ht="35.25" customHeight="1">
      <c r="A885" s="14"/>
      <c r="B885" s="14"/>
      <c r="C885" s="14"/>
    </row>
    <row r="886" ht="35.25" customHeight="1">
      <c r="A886" s="14"/>
      <c r="B886" s="14"/>
      <c r="C886" s="14"/>
    </row>
    <row r="887" ht="35.25" customHeight="1">
      <c r="A887" s="14"/>
      <c r="B887" s="14"/>
      <c r="C887" s="14"/>
    </row>
    <row r="888" ht="35.25" customHeight="1">
      <c r="A888" s="14"/>
      <c r="B888" s="14"/>
      <c r="C888" s="14"/>
    </row>
    <row r="889" ht="35.25" customHeight="1">
      <c r="A889" s="14"/>
      <c r="B889" s="14"/>
      <c r="C889" s="14"/>
    </row>
    <row r="890" ht="35.25" customHeight="1">
      <c r="A890" s="14"/>
      <c r="B890" s="14"/>
      <c r="C890" s="14"/>
    </row>
    <row r="891" ht="35.25" customHeight="1">
      <c r="A891" s="14"/>
      <c r="B891" s="14"/>
      <c r="C891" s="14"/>
    </row>
    <row r="892" ht="35.25" customHeight="1">
      <c r="A892" s="14"/>
      <c r="B892" s="14"/>
      <c r="C892" s="14"/>
    </row>
    <row r="893" ht="35.25" customHeight="1">
      <c r="A893" s="14"/>
      <c r="B893" s="14"/>
      <c r="C893" s="14"/>
    </row>
    <row r="894" ht="35.25" customHeight="1">
      <c r="A894" s="14"/>
      <c r="B894" s="14"/>
      <c r="C894" s="14"/>
    </row>
    <row r="895" ht="35.25" customHeight="1">
      <c r="A895" s="14"/>
      <c r="B895" s="14"/>
      <c r="C895" s="14"/>
    </row>
    <row r="896" ht="35.25" customHeight="1">
      <c r="A896" s="14"/>
      <c r="B896" s="14"/>
      <c r="C896" s="14"/>
    </row>
    <row r="897" ht="35.25" customHeight="1">
      <c r="A897" s="14"/>
      <c r="B897" s="14"/>
      <c r="C897" s="14"/>
    </row>
    <row r="898" ht="35.25" customHeight="1">
      <c r="A898" s="14"/>
      <c r="B898" s="14"/>
      <c r="C898" s="14"/>
    </row>
    <row r="899" ht="35.25" customHeight="1">
      <c r="A899" s="14"/>
      <c r="B899" s="14"/>
      <c r="C899" s="14"/>
    </row>
    <row r="900" ht="35.25" customHeight="1">
      <c r="A900" s="14"/>
      <c r="B900" s="14"/>
      <c r="C900" s="14"/>
    </row>
    <row r="901" ht="35.25" customHeight="1">
      <c r="A901" s="14"/>
      <c r="B901" s="14"/>
      <c r="C901" s="14"/>
    </row>
    <row r="902" ht="35.25" customHeight="1">
      <c r="A902" s="14"/>
      <c r="B902" s="14"/>
      <c r="C902" s="14"/>
    </row>
    <row r="903" ht="35.25" customHeight="1">
      <c r="A903" s="14"/>
      <c r="B903" s="14"/>
      <c r="C903" s="14"/>
    </row>
    <row r="904" ht="35.25" customHeight="1">
      <c r="A904" s="14"/>
      <c r="B904" s="14"/>
      <c r="C904" s="14"/>
    </row>
    <row r="905" ht="35.25" customHeight="1">
      <c r="A905" s="14"/>
      <c r="B905" s="14"/>
      <c r="C905" s="14"/>
    </row>
    <row r="906" ht="35.25" customHeight="1">
      <c r="A906" s="14"/>
      <c r="B906" s="14"/>
      <c r="C906" s="14"/>
    </row>
    <row r="907" ht="35.25" customHeight="1">
      <c r="A907" s="14"/>
      <c r="B907" s="14"/>
      <c r="C907" s="14"/>
    </row>
    <row r="908" ht="35.25" customHeight="1">
      <c r="A908" s="14"/>
      <c r="B908" s="14"/>
      <c r="C908" s="14"/>
    </row>
    <row r="909" ht="35.25" customHeight="1">
      <c r="A909" s="14"/>
      <c r="B909" s="14"/>
      <c r="C909" s="14"/>
    </row>
    <row r="910" ht="35.25" customHeight="1">
      <c r="A910" s="14"/>
      <c r="B910" s="14"/>
      <c r="C910" s="14"/>
    </row>
    <row r="911" ht="35.25" customHeight="1">
      <c r="A911" s="14"/>
      <c r="B911" s="14"/>
      <c r="C911" s="14"/>
    </row>
    <row r="912" ht="35.25" customHeight="1">
      <c r="A912" s="14"/>
      <c r="B912" s="14"/>
      <c r="C912" s="14"/>
    </row>
    <row r="913" ht="35.25" customHeight="1">
      <c r="A913" s="14"/>
      <c r="B913" s="14"/>
      <c r="C913" s="14"/>
    </row>
    <row r="914" ht="35.25" customHeight="1">
      <c r="A914" s="14"/>
      <c r="B914" s="14"/>
      <c r="C914" s="14"/>
    </row>
    <row r="915" ht="35.25" customHeight="1">
      <c r="A915" s="14"/>
      <c r="B915" s="14"/>
      <c r="C915" s="14"/>
    </row>
    <row r="916" ht="35.25" customHeight="1">
      <c r="A916" s="14"/>
      <c r="B916" s="14"/>
      <c r="C916" s="14"/>
    </row>
    <row r="917" ht="35.25" customHeight="1">
      <c r="A917" s="14"/>
      <c r="B917" s="14"/>
      <c r="C917" s="14"/>
    </row>
    <row r="918" ht="35.25" customHeight="1">
      <c r="A918" s="14"/>
      <c r="B918" s="14"/>
      <c r="C918" s="14"/>
    </row>
    <row r="919" ht="35.25" customHeight="1">
      <c r="A919" s="14"/>
      <c r="B919" s="14"/>
      <c r="C919" s="14"/>
    </row>
    <row r="920" ht="35.25" customHeight="1">
      <c r="A920" s="14"/>
      <c r="B920" s="14"/>
      <c r="C920" s="14"/>
    </row>
    <row r="921" ht="35.25" customHeight="1">
      <c r="A921" s="14"/>
      <c r="B921" s="14"/>
      <c r="C921" s="14"/>
    </row>
    <row r="922" ht="35.25" customHeight="1">
      <c r="A922" s="14"/>
      <c r="B922" s="14"/>
      <c r="C922" s="14"/>
    </row>
    <row r="923" ht="35.25" customHeight="1">
      <c r="A923" s="14"/>
      <c r="B923" s="14"/>
      <c r="C923" s="14"/>
    </row>
    <row r="924" ht="35.25" customHeight="1">
      <c r="A924" s="14"/>
      <c r="B924" s="14"/>
      <c r="C924" s="14"/>
    </row>
    <row r="925" ht="35.25" customHeight="1">
      <c r="A925" s="14"/>
      <c r="B925" s="14"/>
      <c r="C925" s="14"/>
    </row>
    <row r="926" ht="35.25" customHeight="1">
      <c r="A926" s="14"/>
      <c r="B926" s="14"/>
      <c r="C926" s="14"/>
    </row>
    <row r="927" ht="35.25" customHeight="1">
      <c r="A927" s="14"/>
      <c r="B927" s="14"/>
      <c r="C927" s="14"/>
    </row>
    <row r="928" ht="35.25" customHeight="1">
      <c r="A928" s="14"/>
      <c r="B928" s="14"/>
      <c r="C928" s="14"/>
    </row>
    <row r="929" ht="35.25" customHeight="1">
      <c r="A929" s="14"/>
      <c r="B929" s="14"/>
      <c r="C929" s="14"/>
    </row>
    <row r="930" ht="35.25" customHeight="1">
      <c r="A930" s="14"/>
      <c r="B930" s="14"/>
      <c r="C930" s="14"/>
    </row>
    <row r="931" ht="35.25" customHeight="1">
      <c r="A931" s="14"/>
      <c r="B931" s="14"/>
      <c r="C931" s="14"/>
    </row>
    <row r="932" ht="35.25" customHeight="1">
      <c r="A932" s="14"/>
      <c r="B932" s="14"/>
      <c r="C932" s="14"/>
    </row>
    <row r="933" ht="35.25" customHeight="1">
      <c r="A933" s="14"/>
      <c r="B933" s="14"/>
      <c r="C933" s="14"/>
    </row>
    <row r="934" ht="35.25" customHeight="1">
      <c r="A934" s="14"/>
      <c r="B934" s="14"/>
      <c r="C934" s="14"/>
    </row>
    <row r="935" ht="35.25" customHeight="1">
      <c r="A935" s="14"/>
      <c r="B935" s="14"/>
      <c r="C935" s="14"/>
    </row>
    <row r="936" ht="35.25" customHeight="1">
      <c r="A936" s="14"/>
      <c r="B936" s="14"/>
      <c r="C936" s="14"/>
    </row>
    <row r="937" ht="35.25" customHeight="1">
      <c r="A937" s="14"/>
      <c r="B937" s="14"/>
      <c r="C937" s="14"/>
    </row>
    <row r="938" ht="35.25" customHeight="1">
      <c r="A938" s="14"/>
      <c r="B938" s="14"/>
      <c r="C938" s="14"/>
    </row>
    <row r="939" ht="35.25" customHeight="1">
      <c r="A939" s="14"/>
      <c r="B939" s="14"/>
      <c r="C939" s="14"/>
    </row>
    <row r="940" ht="35.25" customHeight="1">
      <c r="A940" s="14"/>
      <c r="B940" s="14"/>
      <c r="C940" s="14"/>
    </row>
    <row r="941" ht="35.25" customHeight="1">
      <c r="A941" s="14"/>
      <c r="B941" s="14"/>
      <c r="C941" s="14"/>
    </row>
    <row r="942" ht="35.25" customHeight="1">
      <c r="A942" s="14"/>
      <c r="B942" s="14"/>
      <c r="C942" s="14"/>
    </row>
    <row r="943" ht="35.25" customHeight="1">
      <c r="A943" s="14"/>
      <c r="B943" s="14"/>
      <c r="C943" s="14"/>
    </row>
    <row r="944" ht="35.25" customHeight="1">
      <c r="A944" s="14"/>
      <c r="B944" s="14"/>
      <c r="C944" s="14"/>
    </row>
    <row r="945" ht="35.25" customHeight="1">
      <c r="A945" s="14"/>
      <c r="B945" s="14"/>
      <c r="C945" s="14"/>
    </row>
    <row r="946" ht="35.25" customHeight="1">
      <c r="A946" s="14"/>
      <c r="B946" s="14"/>
      <c r="C946" s="14"/>
    </row>
    <row r="947" ht="35.25" customHeight="1">
      <c r="A947" s="14"/>
      <c r="B947" s="14"/>
      <c r="C947" s="14"/>
    </row>
    <row r="948" ht="35.25" customHeight="1">
      <c r="A948" s="14"/>
      <c r="B948" s="14"/>
      <c r="C948" s="14"/>
    </row>
    <row r="949" ht="35.25" customHeight="1">
      <c r="A949" s="14"/>
      <c r="B949" s="14"/>
      <c r="C949" s="14"/>
    </row>
    <row r="950" ht="35.25" customHeight="1">
      <c r="A950" s="14"/>
      <c r="B950" s="14"/>
      <c r="C950" s="14"/>
    </row>
    <row r="951" ht="35.25" customHeight="1">
      <c r="A951" s="14"/>
      <c r="B951" s="14"/>
      <c r="C951" s="14"/>
    </row>
    <row r="952" ht="35.25" customHeight="1">
      <c r="A952" s="14"/>
      <c r="B952" s="14"/>
      <c r="C952" s="14"/>
    </row>
    <row r="953" ht="35.25" customHeight="1">
      <c r="A953" s="14"/>
      <c r="B953" s="14"/>
      <c r="C953" s="14"/>
    </row>
    <row r="954" ht="35.25" customHeight="1">
      <c r="A954" s="14"/>
      <c r="B954" s="14"/>
      <c r="C954" s="14"/>
    </row>
    <row r="955" ht="35.25" customHeight="1">
      <c r="A955" s="14"/>
      <c r="B955" s="14"/>
      <c r="C955" s="14"/>
    </row>
    <row r="956" ht="35.25" customHeight="1">
      <c r="A956" s="14"/>
      <c r="B956" s="14"/>
      <c r="C956" s="14"/>
    </row>
    <row r="957" ht="35.25" customHeight="1">
      <c r="A957" s="14"/>
      <c r="B957" s="14"/>
      <c r="C957" s="14"/>
    </row>
    <row r="958" ht="35.25" customHeight="1">
      <c r="A958" s="14"/>
      <c r="B958" s="14"/>
      <c r="C958" s="14"/>
    </row>
    <row r="959" ht="35.25" customHeight="1">
      <c r="A959" s="14"/>
      <c r="B959" s="14"/>
      <c r="C959" s="14"/>
    </row>
    <row r="960" ht="35.25" customHeight="1">
      <c r="A960" s="14"/>
      <c r="B960" s="14"/>
      <c r="C960" s="14"/>
    </row>
    <row r="961" ht="35.25" customHeight="1">
      <c r="A961" s="14"/>
      <c r="B961" s="14"/>
      <c r="C961" s="14"/>
    </row>
    <row r="962" ht="35.25" customHeight="1">
      <c r="A962" s="14"/>
      <c r="B962" s="14"/>
      <c r="C962" s="14"/>
    </row>
    <row r="963" ht="35.25" customHeight="1">
      <c r="A963" s="14"/>
      <c r="B963" s="14"/>
      <c r="C963" s="14"/>
    </row>
    <row r="964" ht="35.25" customHeight="1">
      <c r="A964" s="14"/>
      <c r="B964" s="14"/>
      <c r="C964" s="14"/>
    </row>
    <row r="965" ht="35.25" customHeight="1">
      <c r="A965" s="14"/>
      <c r="B965" s="14"/>
      <c r="C965" s="14"/>
    </row>
    <row r="966" ht="35.25" customHeight="1">
      <c r="A966" s="14"/>
      <c r="B966" s="14"/>
      <c r="C966" s="14"/>
    </row>
    <row r="967" ht="35.25" customHeight="1">
      <c r="A967" s="14"/>
      <c r="B967" s="14"/>
      <c r="C967" s="14"/>
    </row>
    <row r="968" ht="35.25" customHeight="1">
      <c r="A968" s="14"/>
      <c r="B968" s="14"/>
      <c r="C968" s="14"/>
    </row>
    <row r="969" ht="35.25" customHeight="1">
      <c r="A969" s="14"/>
      <c r="B969" s="14"/>
      <c r="C969" s="14"/>
    </row>
    <row r="970" ht="35.25" customHeight="1">
      <c r="A970" s="14"/>
      <c r="B970" s="14"/>
      <c r="C970" s="14"/>
    </row>
    <row r="971" ht="35.25" customHeight="1">
      <c r="A971" s="14"/>
      <c r="B971" s="14"/>
      <c r="C971" s="14"/>
    </row>
    <row r="972" ht="35.25" customHeight="1">
      <c r="A972" s="14"/>
      <c r="B972" s="14"/>
      <c r="C972" s="14"/>
    </row>
    <row r="973" ht="35.25" customHeight="1">
      <c r="A973" s="14"/>
      <c r="B973" s="14"/>
      <c r="C973" s="14"/>
    </row>
    <row r="974" ht="35.25" customHeight="1">
      <c r="A974" s="14"/>
      <c r="B974" s="14"/>
      <c r="C974" s="14"/>
    </row>
    <row r="975" ht="35.25" customHeight="1">
      <c r="A975" s="14"/>
      <c r="B975" s="14"/>
      <c r="C975" s="14"/>
    </row>
    <row r="976" ht="35.25" customHeight="1">
      <c r="A976" s="14"/>
      <c r="B976" s="14"/>
      <c r="C976" s="14"/>
    </row>
    <row r="977" ht="35.25" customHeight="1">
      <c r="A977" s="14"/>
      <c r="B977" s="14"/>
      <c r="C977" s="14"/>
    </row>
    <row r="978" ht="35.25" customHeight="1">
      <c r="A978" s="14"/>
      <c r="B978" s="14"/>
      <c r="C978" s="14"/>
    </row>
    <row r="979" ht="35.25" customHeight="1">
      <c r="A979" s="14"/>
      <c r="B979" s="14"/>
      <c r="C979" s="14"/>
    </row>
    <row r="980" ht="35.25" customHeight="1">
      <c r="A980" s="14"/>
      <c r="B980" s="14"/>
      <c r="C980" s="14"/>
    </row>
    <row r="981" ht="35.25" customHeight="1">
      <c r="A981" s="14"/>
      <c r="B981" s="14"/>
      <c r="C981" s="14"/>
    </row>
    <row r="982" ht="35.25" customHeight="1">
      <c r="A982" s="14"/>
      <c r="B982" s="14"/>
      <c r="C982" s="14"/>
    </row>
    <row r="983" ht="35.25" customHeight="1">
      <c r="A983" s="14"/>
      <c r="B983" s="14"/>
      <c r="C983" s="14"/>
    </row>
    <row r="984" ht="35.25" customHeight="1">
      <c r="A984" s="14"/>
      <c r="B984" s="14"/>
      <c r="C984" s="14"/>
    </row>
    <row r="985" ht="35.25" customHeight="1">
      <c r="A985" s="14"/>
      <c r="B985" s="14"/>
      <c r="C985" s="14"/>
    </row>
    <row r="986" ht="35.25" customHeight="1">
      <c r="A986" s="14"/>
      <c r="B986" s="14"/>
      <c r="C986" s="14"/>
    </row>
    <row r="987" ht="35.25" customHeight="1">
      <c r="A987" s="14"/>
      <c r="B987" s="14"/>
      <c r="C987" s="14"/>
    </row>
    <row r="988" ht="35.25" customHeight="1">
      <c r="A988" s="14"/>
      <c r="B988" s="14"/>
      <c r="C988" s="14"/>
    </row>
    <row r="989" ht="35.25" customHeight="1">
      <c r="A989" s="14"/>
      <c r="B989" s="14"/>
      <c r="C989" s="14"/>
    </row>
    <row r="990" ht="35.25" customHeight="1">
      <c r="A990" s="14"/>
      <c r="B990" s="14"/>
      <c r="C990" s="14"/>
    </row>
    <row r="991" ht="35.25" customHeight="1">
      <c r="A991" s="14"/>
      <c r="B991" s="14"/>
      <c r="C991" s="14"/>
    </row>
    <row r="992" ht="35.25" customHeight="1">
      <c r="A992" s="14"/>
      <c r="B992" s="14"/>
      <c r="C992" s="14"/>
    </row>
    <row r="993" ht="35.25" customHeight="1">
      <c r="A993" s="14"/>
      <c r="B993" s="14"/>
      <c r="C993" s="14"/>
    </row>
    <row r="994" ht="35.25" customHeight="1">
      <c r="A994" s="14"/>
      <c r="B994" s="14"/>
      <c r="C994" s="14"/>
    </row>
    <row r="995" ht="35.25" customHeight="1">
      <c r="A995" s="14"/>
      <c r="B995" s="14"/>
      <c r="C995" s="14"/>
    </row>
    <row r="996" ht="35.25" customHeight="1">
      <c r="A996" s="14"/>
      <c r="B996" s="14"/>
      <c r="C996" s="14"/>
    </row>
    <row r="997" ht="35.25" customHeight="1">
      <c r="A997" s="14"/>
      <c r="B997" s="14"/>
      <c r="C997" s="14"/>
    </row>
    <row r="998" ht="35.25" customHeight="1">
      <c r="A998" s="14"/>
      <c r="B998" s="14"/>
      <c r="C998" s="14"/>
    </row>
    <row r="999" ht="35.25" customHeight="1">
      <c r="A999" s="14"/>
      <c r="B999" s="14"/>
      <c r="C999" s="14"/>
    </row>
    <row r="1000" ht="35.2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8.71"/>
    <col customWidth="1" min="3" max="3" width="36.86"/>
  </cols>
  <sheetData>
    <row r="1" ht="33.75" customHeight="1">
      <c r="A1" s="14" t="s">
        <v>494</v>
      </c>
      <c r="B1" s="14" t="str">
        <f>IMAGE("https://lmztiles.s3.eu-west-1.amazonaws.com/Modern_Interiors_v41.3.4/1_Interiors/16x16/Theme_Sorter_Singles/4_Bedroom_Singles/Bedroom_Singles_1.png")</f>
        <v/>
      </c>
      <c r="C1" s="15" t="s">
        <v>495</v>
      </c>
    </row>
    <row r="2" ht="33.75" customHeight="1">
      <c r="A2" s="14" t="s">
        <v>496</v>
      </c>
      <c r="B2" s="14" t="str">
        <f>IMAGE("https://lmztiles.s3.eu-west-1.amazonaws.com/Modern_Interiors_v41.3.4/1_Interiors/16x16/Theme_Sorter_Singles/4_Bedroom_Singles/Bedroom_Singles_2.png")</f>
        <v/>
      </c>
      <c r="C2" s="15" t="s">
        <v>497</v>
      </c>
    </row>
    <row r="3" ht="33.75" customHeight="1">
      <c r="A3" s="14" t="s">
        <v>498</v>
      </c>
      <c r="B3" s="14" t="str">
        <f>IMAGE("https://lmztiles.s3.eu-west-1.amazonaws.com/Modern_Interiors_v41.3.4/1_Interiors/16x16/Theme_Sorter_Singles/4_Bedroom_Singles/Bedroom_Singles_3.png")</f>
        <v/>
      </c>
      <c r="C3" s="15" t="s">
        <v>499</v>
      </c>
    </row>
    <row r="4" ht="33.75" customHeight="1">
      <c r="A4" s="14" t="s">
        <v>500</v>
      </c>
      <c r="B4" s="14" t="str">
        <f>IMAGE("https://lmztiles.s3.eu-west-1.amazonaws.com/Modern_Interiors_v41.3.4/1_Interiors/16x16/Theme_Sorter_Singles/4_Bedroom_Singles/Bedroom_Singles_4.png")</f>
        <v/>
      </c>
      <c r="C4" s="15" t="s">
        <v>501</v>
      </c>
    </row>
    <row r="5" ht="33.75" customHeight="1">
      <c r="A5" s="14" t="s">
        <v>502</v>
      </c>
      <c r="B5" s="14" t="str">
        <f>IMAGE("https://lmztiles.s3.eu-west-1.amazonaws.com/Modern_Interiors_v41.3.4/1_Interiors/16x16/Theme_Sorter_Singles/4_Bedroom_Singles/Bedroom_Singles_5.png")</f>
        <v/>
      </c>
      <c r="C5" s="15" t="s">
        <v>503</v>
      </c>
    </row>
    <row r="6" ht="33.75" customHeight="1">
      <c r="A6" s="14" t="s">
        <v>504</v>
      </c>
      <c r="B6" s="14" t="str">
        <f>IMAGE("https://lmztiles.s3.eu-west-1.amazonaws.com/Modern_Interiors_v41.3.4/1_Interiors/16x16/Theme_Sorter_Singles/4_Bedroom_Singles/Bedroom_Singles_6.png")</f>
        <v/>
      </c>
      <c r="C6" s="15" t="s">
        <v>505</v>
      </c>
    </row>
    <row r="7" ht="33.75" customHeight="1">
      <c r="A7" s="14" t="s">
        <v>506</v>
      </c>
      <c r="B7" s="14" t="str">
        <f>IMAGE("https://lmztiles.s3.eu-west-1.amazonaws.com/Modern_Interiors_v41.3.4/1_Interiors/16x16/Theme_Sorter_Singles/4_Bedroom_Singles/Bedroom_Singles_7.png")</f>
        <v/>
      </c>
      <c r="C7" s="15" t="s">
        <v>507</v>
      </c>
    </row>
    <row r="8" ht="33.75" customHeight="1">
      <c r="A8" s="14" t="s">
        <v>508</v>
      </c>
      <c r="B8" s="14" t="str">
        <f>IMAGE("https://lmztiles.s3.eu-west-1.amazonaws.com/Modern_Interiors_v41.3.4/1_Interiors/16x16/Theme_Sorter_Singles/4_Bedroom_Singles/Bedroom_Singles_8.png")</f>
        <v/>
      </c>
      <c r="C8" s="15" t="s">
        <v>509</v>
      </c>
    </row>
    <row r="9" ht="33.75" customHeight="1">
      <c r="A9" s="14" t="s">
        <v>510</v>
      </c>
      <c r="B9" s="14" t="str">
        <f>IMAGE("https://lmztiles.s3.eu-west-1.amazonaws.com/Modern_Interiors_v41.3.4/1_Interiors/16x16/Theme_Sorter_Singles/4_Bedroom_Singles/Bedroom_Singles_9.png")</f>
        <v/>
      </c>
      <c r="C9" s="15" t="s">
        <v>511</v>
      </c>
    </row>
    <row r="10" ht="33.75" customHeight="1">
      <c r="A10" s="14" t="s">
        <v>512</v>
      </c>
      <c r="B10" s="14" t="str">
        <f>IMAGE("https://lmztiles.s3.eu-west-1.amazonaws.com/Modern_Interiors_v41.3.4/1_Interiors/16x16/Theme_Sorter_Singles/4_Bedroom_Singles/Bedroom_Singles_10.png")</f>
        <v/>
      </c>
      <c r="C10" s="15" t="s">
        <v>513</v>
      </c>
    </row>
    <row r="11" ht="33.75" customHeight="1">
      <c r="A11" s="14" t="s">
        <v>514</v>
      </c>
      <c r="B11" s="14" t="str">
        <f>IMAGE("https://lmztiles.s3.eu-west-1.amazonaws.com/Modern_Interiors_v41.3.4/1_Interiors/16x16/Theme_Sorter_Singles/4_Bedroom_Singles/Bedroom_Singles_11.png")</f>
        <v/>
      </c>
      <c r="C11" s="15" t="s">
        <v>515</v>
      </c>
    </row>
    <row r="12" ht="33.75" customHeight="1">
      <c r="A12" s="14" t="s">
        <v>516</v>
      </c>
      <c r="B12" s="14" t="str">
        <f>IMAGE("https://lmztiles.s3.eu-west-1.amazonaws.com/Modern_Interiors_v41.3.4/1_Interiors/16x16/Theme_Sorter_Singles/4_Bedroom_Singles/Bedroom_Singles_12.png")</f>
        <v/>
      </c>
      <c r="C12" s="15" t="s">
        <v>517</v>
      </c>
    </row>
    <row r="13" ht="33.75" customHeight="1">
      <c r="A13" s="14" t="s">
        <v>518</v>
      </c>
      <c r="B13" s="14" t="str">
        <f>IMAGE("https://lmztiles.s3.eu-west-1.amazonaws.com/Modern_Interiors_v41.3.4/1_Interiors/16x16/Theme_Sorter_Singles/4_Bedroom_Singles/Bedroom_Singles_13.png")</f>
        <v/>
      </c>
      <c r="C13" s="15" t="s">
        <v>519</v>
      </c>
    </row>
    <row r="14" ht="33.75" customHeight="1">
      <c r="A14" s="14" t="s">
        <v>520</v>
      </c>
      <c r="B14" s="14" t="str">
        <f>IMAGE("https://lmztiles.s3.eu-west-1.amazonaws.com/Modern_Interiors_v41.3.4/1_Interiors/16x16/Theme_Sorter_Singles/4_Bedroom_Singles/Bedroom_Singles_14.png")</f>
        <v/>
      </c>
      <c r="C14" s="15" t="s">
        <v>521</v>
      </c>
    </row>
    <row r="15" ht="33.75" customHeight="1">
      <c r="A15" s="14" t="s">
        <v>522</v>
      </c>
      <c r="B15" s="14" t="str">
        <f>IMAGE("https://lmztiles.s3.eu-west-1.amazonaws.com/Modern_Interiors_v41.3.4/1_Interiors/16x16/Theme_Sorter_Singles/4_Bedroom_Singles/Bedroom_Singles_15.png")</f>
        <v/>
      </c>
      <c r="C15" s="15" t="s">
        <v>495</v>
      </c>
    </row>
    <row r="16" ht="33.75" customHeight="1">
      <c r="A16" s="14" t="s">
        <v>523</v>
      </c>
      <c r="B16" s="14" t="str">
        <f>IMAGE("https://lmztiles.s3.eu-west-1.amazonaws.com/Modern_Interiors_v41.3.4/1_Interiors/16x16/Theme_Sorter_Singles/4_Bedroom_Singles/Bedroom_Singles_16.png")</f>
        <v/>
      </c>
      <c r="C16" s="15" t="s">
        <v>497</v>
      </c>
    </row>
    <row r="17" ht="33.75" customHeight="1">
      <c r="A17" s="14" t="s">
        <v>524</v>
      </c>
      <c r="B17" s="14" t="str">
        <f>IMAGE("https://lmztiles.s3.eu-west-1.amazonaws.com/Modern_Interiors_v41.3.4/1_Interiors/16x16/Theme_Sorter_Singles/4_Bedroom_Singles/Bedroom_Singles_17.png")</f>
        <v/>
      </c>
      <c r="C17" s="15" t="s">
        <v>499</v>
      </c>
    </row>
    <row r="18" ht="33.75" customHeight="1">
      <c r="A18" s="14" t="s">
        <v>525</v>
      </c>
      <c r="B18" s="14" t="str">
        <f>IMAGE("https://lmztiles.s3.eu-west-1.amazonaws.com/Modern_Interiors_v41.3.4/1_Interiors/16x16/Theme_Sorter_Singles/4_Bedroom_Singles/Bedroom_Singles_18.png")</f>
        <v/>
      </c>
      <c r="C18" s="15" t="s">
        <v>501</v>
      </c>
    </row>
    <row r="19" ht="33.75" customHeight="1">
      <c r="A19" s="14" t="s">
        <v>526</v>
      </c>
      <c r="B19" s="14" t="str">
        <f>IMAGE("https://lmztiles.s3.eu-west-1.amazonaws.com/Modern_Interiors_v41.3.4/1_Interiors/16x16/Theme_Sorter_Singles/4_Bedroom_Singles/Bedroom_Singles_19.png")</f>
        <v/>
      </c>
      <c r="C19" s="15" t="s">
        <v>503</v>
      </c>
    </row>
    <row r="20" ht="33.75" customHeight="1">
      <c r="A20" s="14" t="s">
        <v>527</v>
      </c>
      <c r="B20" s="14" t="str">
        <f>IMAGE("https://lmztiles.s3.eu-west-1.amazonaws.com/Modern_Interiors_v41.3.4/1_Interiors/16x16/Theme_Sorter_Singles/4_Bedroom_Singles/Bedroom_Singles_20.png")</f>
        <v/>
      </c>
      <c r="C20" s="15" t="s">
        <v>505</v>
      </c>
    </row>
    <row r="21" ht="33.75" customHeight="1">
      <c r="A21" s="14" t="s">
        <v>528</v>
      </c>
      <c r="B21" s="14" t="str">
        <f>IMAGE("https://lmztiles.s3.eu-west-1.amazonaws.com/Modern_Interiors_v41.3.4/1_Interiors/16x16/Theme_Sorter_Singles/4_Bedroom_Singles/Bedroom_Singles_21.png")</f>
        <v/>
      </c>
      <c r="C21" s="15" t="s">
        <v>507</v>
      </c>
    </row>
    <row r="22" ht="33.75" customHeight="1">
      <c r="A22" s="14" t="s">
        <v>529</v>
      </c>
      <c r="B22" s="14" t="str">
        <f>IMAGE("https://lmztiles.s3.eu-west-1.amazonaws.com/Modern_Interiors_v41.3.4/1_Interiors/16x16/Theme_Sorter_Singles/4_Bedroom_Singles/Bedroom_Singles_22.png")</f>
        <v/>
      </c>
      <c r="C22" s="15" t="s">
        <v>509</v>
      </c>
    </row>
    <row r="23" ht="33.75" customHeight="1">
      <c r="A23" s="14" t="s">
        <v>530</v>
      </c>
      <c r="B23" s="14" t="str">
        <f>IMAGE("https://lmztiles.s3.eu-west-1.amazonaws.com/Modern_Interiors_v41.3.4/1_Interiors/16x16/Theme_Sorter_Singles/4_Bedroom_Singles/Bedroom_Singles_23.png")</f>
        <v/>
      </c>
      <c r="C23" s="15" t="s">
        <v>511</v>
      </c>
    </row>
    <row r="24" ht="33.75" customHeight="1">
      <c r="A24" s="14" t="s">
        <v>531</v>
      </c>
      <c r="B24" s="14" t="str">
        <f>IMAGE("https://lmztiles.s3.eu-west-1.amazonaws.com/Modern_Interiors_v41.3.4/1_Interiors/16x16/Theme_Sorter_Singles/4_Bedroom_Singles/Bedroom_Singles_24.png")</f>
        <v/>
      </c>
      <c r="C24" s="15" t="s">
        <v>513</v>
      </c>
    </row>
    <row r="25" ht="33.75" customHeight="1">
      <c r="A25" s="14" t="s">
        <v>532</v>
      </c>
      <c r="B25" s="14" t="str">
        <f>IMAGE("https://lmztiles.s3.eu-west-1.amazonaws.com/Modern_Interiors_v41.3.4/1_Interiors/16x16/Theme_Sorter_Singles/4_Bedroom_Singles/Bedroom_Singles_25.png")</f>
        <v/>
      </c>
      <c r="C25" s="15" t="s">
        <v>515</v>
      </c>
    </row>
    <row r="26" ht="33.75" customHeight="1">
      <c r="A26" s="14" t="s">
        <v>533</v>
      </c>
      <c r="B26" s="14" t="str">
        <f>IMAGE("https://lmztiles.s3.eu-west-1.amazonaws.com/Modern_Interiors_v41.3.4/1_Interiors/16x16/Theme_Sorter_Singles/4_Bedroom_Singles/Bedroom_Singles_26.png")</f>
        <v/>
      </c>
      <c r="C26" s="15" t="s">
        <v>517</v>
      </c>
    </row>
    <row r="27" ht="33.75" customHeight="1">
      <c r="A27" s="14" t="s">
        <v>534</v>
      </c>
      <c r="B27" s="14" t="str">
        <f>IMAGE("https://lmztiles.s3.eu-west-1.amazonaws.com/Modern_Interiors_v41.3.4/1_Interiors/16x16/Theme_Sorter_Singles/4_Bedroom_Singles/Bedroom_Singles_27.png")</f>
        <v/>
      </c>
      <c r="C27" s="15" t="s">
        <v>519</v>
      </c>
    </row>
    <row r="28" ht="33.75" customHeight="1">
      <c r="A28" s="14" t="s">
        <v>535</v>
      </c>
      <c r="B28" s="14" t="str">
        <f>IMAGE("https://lmztiles.s3.eu-west-1.amazonaws.com/Modern_Interiors_v41.3.4/1_Interiors/16x16/Theme_Sorter_Singles/4_Bedroom_Singles/Bedroom_Singles_28.png")</f>
        <v/>
      </c>
      <c r="C28" s="15" t="s">
        <v>521</v>
      </c>
    </row>
    <row r="29" ht="33.75" customHeight="1">
      <c r="A29" s="14" t="s">
        <v>536</v>
      </c>
      <c r="B29" s="14" t="str">
        <f>IMAGE("https://lmztiles.s3.eu-west-1.amazonaws.com/Modern_Interiors_v41.3.4/1_Interiors/16x16/Theme_Sorter_Singles/4_Bedroom_Singles/Bedroom_Singles_29.png")</f>
        <v/>
      </c>
      <c r="C29" s="15" t="s">
        <v>495</v>
      </c>
    </row>
    <row r="30" ht="33.75" customHeight="1">
      <c r="A30" s="14" t="s">
        <v>537</v>
      </c>
      <c r="B30" s="14" t="str">
        <f>IMAGE("https://lmztiles.s3.eu-west-1.amazonaws.com/Modern_Interiors_v41.3.4/1_Interiors/16x16/Theme_Sorter_Singles/4_Bedroom_Singles/Bedroom_Singles_30.png")</f>
        <v/>
      </c>
      <c r="C30" s="15" t="s">
        <v>497</v>
      </c>
    </row>
    <row r="31" ht="33.75" customHeight="1">
      <c r="A31" s="14" t="s">
        <v>538</v>
      </c>
      <c r="B31" s="14" t="str">
        <f>IMAGE("https://lmztiles.s3.eu-west-1.amazonaws.com/Modern_Interiors_v41.3.4/1_Interiors/16x16/Theme_Sorter_Singles/4_Bedroom_Singles/Bedroom_Singles_31.png")</f>
        <v/>
      </c>
      <c r="C31" s="15" t="s">
        <v>499</v>
      </c>
    </row>
    <row r="32" ht="33.75" customHeight="1">
      <c r="A32" s="14" t="s">
        <v>539</v>
      </c>
      <c r="B32" s="14" t="str">
        <f>IMAGE("https://lmztiles.s3.eu-west-1.amazonaws.com/Modern_Interiors_v41.3.4/1_Interiors/16x16/Theme_Sorter_Singles/4_Bedroom_Singles/Bedroom_Singles_32.png")</f>
        <v/>
      </c>
      <c r="C32" s="15" t="s">
        <v>501</v>
      </c>
    </row>
    <row r="33" ht="33.75" customHeight="1">
      <c r="A33" s="14" t="s">
        <v>540</v>
      </c>
      <c r="B33" s="14" t="str">
        <f>IMAGE("https://lmztiles.s3.eu-west-1.amazonaws.com/Modern_Interiors_v41.3.4/1_Interiors/16x16/Theme_Sorter_Singles/4_Bedroom_Singles/Bedroom_Singles_33.png")</f>
        <v/>
      </c>
      <c r="C33" s="15" t="s">
        <v>503</v>
      </c>
    </row>
    <row r="34" ht="33.75" customHeight="1">
      <c r="A34" s="14" t="s">
        <v>541</v>
      </c>
      <c r="B34" s="14" t="str">
        <f>IMAGE("https://lmztiles.s3.eu-west-1.amazonaws.com/Modern_Interiors_v41.3.4/1_Interiors/16x16/Theme_Sorter_Singles/4_Bedroom_Singles/Bedroom_Singles_34.png")</f>
        <v/>
      </c>
      <c r="C34" s="15" t="s">
        <v>505</v>
      </c>
    </row>
    <row r="35" ht="33.75" customHeight="1">
      <c r="A35" s="14" t="s">
        <v>542</v>
      </c>
      <c r="B35" s="14" t="str">
        <f>IMAGE("https://lmztiles.s3.eu-west-1.amazonaws.com/Modern_Interiors_v41.3.4/1_Interiors/16x16/Theme_Sorter_Singles/4_Bedroom_Singles/Bedroom_Singles_35.png")</f>
        <v/>
      </c>
      <c r="C35" s="15" t="s">
        <v>507</v>
      </c>
    </row>
    <row r="36" ht="33.75" customHeight="1">
      <c r="A36" s="14" t="s">
        <v>543</v>
      </c>
      <c r="B36" s="14" t="str">
        <f>IMAGE("https://lmztiles.s3.eu-west-1.amazonaws.com/Modern_Interiors_v41.3.4/1_Interiors/16x16/Theme_Sorter_Singles/4_Bedroom_Singles/Bedroom_Singles_36.png")</f>
        <v/>
      </c>
      <c r="C36" s="15" t="s">
        <v>509</v>
      </c>
    </row>
    <row r="37" ht="33.75" customHeight="1">
      <c r="A37" s="14" t="s">
        <v>544</v>
      </c>
      <c r="B37" s="14" t="str">
        <f>IMAGE("https://lmztiles.s3.eu-west-1.amazonaws.com/Modern_Interiors_v41.3.4/1_Interiors/16x16/Theme_Sorter_Singles/4_Bedroom_Singles/Bedroom_Singles_37.png")</f>
        <v/>
      </c>
      <c r="C37" s="15" t="s">
        <v>511</v>
      </c>
    </row>
    <row r="38" ht="33.75" customHeight="1">
      <c r="A38" s="14" t="s">
        <v>545</v>
      </c>
      <c r="B38" s="14" t="str">
        <f>IMAGE("https://lmztiles.s3.eu-west-1.amazonaws.com/Modern_Interiors_v41.3.4/1_Interiors/16x16/Theme_Sorter_Singles/4_Bedroom_Singles/Bedroom_Singles_38.png")</f>
        <v/>
      </c>
      <c r="C38" s="15" t="s">
        <v>513</v>
      </c>
    </row>
    <row r="39" ht="33.75" customHeight="1">
      <c r="A39" s="14" t="s">
        <v>546</v>
      </c>
      <c r="B39" s="14" t="str">
        <f>IMAGE("https://lmztiles.s3.eu-west-1.amazonaws.com/Modern_Interiors_v41.3.4/1_Interiors/16x16/Theme_Sorter_Singles/4_Bedroom_Singles/Bedroom_Singles_39.png")</f>
        <v/>
      </c>
      <c r="C39" s="15" t="s">
        <v>515</v>
      </c>
    </row>
    <row r="40" ht="33.75" customHeight="1">
      <c r="A40" s="14" t="s">
        <v>547</v>
      </c>
      <c r="B40" s="14" t="str">
        <f>IMAGE("https://lmztiles.s3.eu-west-1.amazonaws.com/Modern_Interiors_v41.3.4/1_Interiors/16x16/Theme_Sorter_Singles/4_Bedroom_Singles/Bedroom_Singles_40.png")</f>
        <v/>
      </c>
      <c r="C40" s="15" t="s">
        <v>517</v>
      </c>
    </row>
    <row r="41" ht="33.75" customHeight="1">
      <c r="A41" s="14" t="s">
        <v>548</v>
      </c>
      <c r="B41" s="14" t="str">
        <f>IMAGE("https://lmztiles.s3.eu-west-1.amazonaws.com/Modern_Interiors_v41.3.4/1_Interiors/16x16/Theme_Sorter_Singles/4_Bedroom_Singles/Bedroom_Singles_41.png")</f>
        <v/>
      </c>
      <c r="C41" s="15" t="s">
        <v>519</v>
      </c>
    </row>
    <row r="42" ht="33.75" customHeight="1">
      <c r="A42" s="14" t="s">
        <v>549</v>
      </c>
      <c r="B42" s="14" t="str">
        <f>IMAGE("https://lmztiles.s3.eu-west-1.amazonaws.com/Modern_Interiors_v41.3.4/1_Interiors/16x16/Theme_Sorter_Singles/4_Bedroom_Singles/Bedroom_Singles_42.png")</f>
        <v/>
      </c>
      <c r="C42" s="15" t="s">
        <v>521</v>
      </c>
    </row>
    <row r="43" ht="33.75" customHeight="1">
      <c r="A43" s="14" t="s">
        <v>550</v>
      </c>
      <c r="B43" s="14" t="str">
        <f>IMAGE("https://lmztiles.s3.eu-west-1.amazonaws.com/Modern_Interiors_v41.3.4/1_Interiors/16x16/Theme_Sorter_Singles/4_Bedroom_Singles/Bedroom_Singles_43.png")</f>
        <v/>
      </c>
      <c r="C43" s="15" t="s">
        <v>495</v>
      </c>
    </row>
    <row r="44" ht="33.75" customHeight="1">
      <c r="A44" s="14" t="s">
        <v>551</v>
      </c>
      <c r="B44" s="14" t="str">
        <f>IMAGE("https://lmztiles.s3.eu-west-1.amazonaws.com/Modern_Interiors_v41.3.4/1_Interiors/16x16/Theme_Sorter_Singles/4_Bedroom_Singles/Bedroom_Singles_44.png")</f>
        <v/>
      </c>
      <c r="C44" s="15" t="s">
        <v>497</v>
      </c>
    </row>
    <row r="45" ht="33.75" customHeight="1">
      <c r="A45" s="14" t="s">
        <v>552</v>
      </c>
      <c r="B45" s="14" t="str">
        <f>IMAGE("https://lmztiles.s3.eu-west-1.amazonaws.com/Modern_Interiors_v41.3.4/1_Interiors/16x16/Theme_Sorter_Singles/4_Bedroom_Singles/Bedroom_Singles_45.png")</f>
        <v/>
      </c>
      <c r="C45" s="15" t="s">
        <v>499</v>
      </c>
    </row>
    <row r="46" ht="33.75" customHeight="1">
      <c r="A46" s="14" t="s">
        <v>553</v>
      </c>
      <c r="B46" s="14" t="str">
        <f>IMAGE("https://lmztiles.s3.eu-west-1.amazonaws.com/Modern_Interiors_v41.3.4/1_Interiors/16x16/Theme_Sorter_Singles/4_Bedroom_Singles/Bedroom_Singles_46.png")</f>
        <v/>
      </c>
      <c r="C46" s="15" t="s">
        <v>501</v>
      </c>
    </row>
    <row r="47" ht="33.75" customHeight="1">
      <c r="A47" s="14" t="s">
        <v>554</v>
      </c>
      <c r="B47" s="14" t="str">
        <f>IMAGE("https://lmztiles.s3.eu-west-1.amazonaws.com/Modern_Interiors_v41.3.4/1_Interiors/16x16/Theme_Sorter_Singles/4_Bedroom_Singles/Bedroom_Singles_47.png")</f>
        <v/>
      </c>
      <c r="C47" s="15" t="s">
        <v>503</v>
      </c>
    </row>
    <row r="48" ht="33.75" customHeight="1">
      <c r="A48" s="14" t="s">
        <v>555</v>
      </c>
      <c r="B48" s="14" t="str">
        <f>IMAGE("https://lmztiles.s3.eu-west-1.amazonaws.com/Modern_Interiors_v41.3.4/1_Interiors/16x16/Theme_Sorter_Singles/4_Bedroom_Singles/Bedroom_Singles_48.png")</f>
        <v/>
      </c>
      <c r="C48" s="15" t="s">
        <v>505</v>
      </c>
    </row>
    <row r="49" ht="33.75" customHeight="1">
      <c r="A49" s="14" t="s">
        <v>556</v>
      </c>
      <c r="B49" s="14" t="str">
        <f>IMAGE("https://lmztiles.s3.eu-west-1.amazonaws.com/Modern_Interiors_v41.3.4/1_Interiors/16x16/Theme_Sorter_Singles/4_Bedroom_Singles/Bedroom_Singles_49.png")</f>
        <v/>
      </c>
      <c r="C49" s="15" t="s">
        <v>507</v>
      </c>
    </row>
    <row r="50" ht="33.75" customHeight="1">
      <c r="A50" s="14" t="s">
        <v>557</v>
      </c>
      <c r="B50" s="14" t="str">
        <f>IMAGE("https://lmztiles.s3.eu-west-1.amazonaws.com/Modern_Interiors_v41.3.4/1_Interiors/16x16/Theme_Sorter_Singles/4_Bedroom_Singles/Bedroom_Singles_50.png")</f>
        <v/>
      </c>
      <c r="C50" s="15" t="s">
        <v>509</v>
      </c>
    </row>
    <row r="51" ht="33.75" customHeight="1">
      <c r="A51" s="14" t="s">
        <v>558</v>
      </c>
      <c r="B51" s="14" t="str">
        <f>IMAGE("https://lmztiles.s3.eu-west-1.amazonaws.com/Modern_Interiors_v41.3.4/1_Interiors/16x16/Theme_Sorter_Singles/4_Bedroom_Singles/Bedroom_Singles_51.png")</f>
        <v/>
      </c>
      <c r="C51" s="15" t="s">
        <v>511</v>
      </c>
    </row>
    <row r="52" ht="33.75" customHeight="1">
      <c r="A52" s="14" t="s">
        <v>559</v>
      </c>
      <c r="B52" s="14" t="str">
        <f>IMAGE("https://lmztiles.s3.eu-west-1.amazonaws.com/Modern_Interiors_v41.3.4/1_Interiors/16x16/Theme_Sorter_Singles/4_Bedroom_Singles/Bedroom_Singles_52.png")</f>
        <v/>
      </c>
      <c r="C52" s="15" t="s">
        <v>513</v>
      </c>
    </row>
    <row r="53" ht="33.75" customHeight="1">
      <c r="A53" s="14" t="s">
        <v>560</v>
      </c>
      <c r="B53" s="14" t="str">
        <f>IMAGE("https://lmztiles.s3.eu-west-1.amazonaws.com/Modern_Interiors_v41.3.4/1_Interiors/16x16/Theme_Sorter_Singles/4_Bedroom_Singles/Bedroom_Singles_53.png")</f>
        <v/>
      </c>
      <c r="C53" s="15" t="s">
        <v>515</v>
      </c>
    </row>
    <row r="54" ht="33.75" customHeight="1">
      <c r="A54" s="14" t="s">
        <v>561</v>
      </c>
      <c r="B54" s="14" t="str">
        <f>IMAGE("https://lmztiles.s3.eu-west-1.amazonaws.com/Modern_Interiors_v41.3.4/1_Interiors/16x16/Theme_Sorter_Singles/4_Bedroom_Singles/Bedroom_Singles_54.png")</f>
        <v/>
      </c>
      <c r="C54" s="15" t="s">
        <v>517</v>
      </c>
    </row>
    <row r="55" ht="33.75" customHeight="1">
      <c r="A55" s="14" t="s">
        <v>562</v>
      </c>
      <c r="B55" s="14" t="str">
        <f>IMAGE("https://lmztiles.s3.eu-west-1.amazonaws.com/Modern_Interiors_v41.3.4/1_Interiors/16x16/Theme_Sorter_Singles/4_Bedroom_Singles/Bedroom_Singles_55.png")</f>
        <v/>
      </c>
      <c r="C55" s="15" t="s">
        <v>519</v>
      </c>
    </row>
    <row r="56" ht="33.75" customHeight="1">
      <c r="A56" s="14" t="s">
        <v>563</v>
      </c>
      <c r="B56" s="14" t="str">
        <f>IMAGE("https://lmztiles.s3.eu-west-1.amazonaws.com/Modern_Interiors_v41.3.4/1_Interiors/16x16/Theme_Sorter_Singles/4_Bedroom_Singles/Bedroom_Singles_56.png")</f>
        <v/>
      </c>
      <c r="C56" s="15" t="s">
        <v>521</v>
      </c>
    </row>
    <row r="57" ht="33.75" customHeight="1">
      <c r="A57" s="14" t="s">
        <v>564</v>
      </c>
      <c r="B57" s="14" t="str">
        <f>IMAGE("https://lmztiles.s3.eu-west-1.amazonaws.com/Modern_Interiors_v41.3.4/1_Interiors/16x16/Theme_Sorter_Singles/4_Bedroom_Singles/Bedroom_Singles_57.png")</f>
        <v/>
      </c>
      <c r="C57" s="15" t="s">
        <v>565</v>
      </c>
    </row>
    <row r="58" ht="33.75" customHeight="1">
      <c r="A58" s="14" t="s">
        <v>566</v>
      </c>
      <c r="B58" s="14" t="str">
        <f>IMAGE("https://lmztiles.s3.eu-west-1.amazonaws.com/Modern_Interiors_v41.3.4/1_Interiors/16x16/Theme_Sorter_Singles/4_Bedroom_Singles/Bedroom_Singles_58.png")</f>
        <v/>
      </c>
      <c r="C58" s="15" t="s">
        <v>567</v>
      </c>
    </row>
    <row r="59" ht="33.75" customHeight="1">
      <c r="A59" s="14" t="s">
        <v>568</v>
      </c>
      <c r="B59" s="14" t="str">
        <f>IMAGE("https://lmztiles.s3.eu-west-1.amazonaws.com/Modern_Interiors_v41.3.4/1_Interiors/16x16/Theme_Sorter_Singles/4_Bedroom_Singles/Bedroom_Singles_59.png")</f>
        <v/>
      </c>
      <c r="C59" s="15" t="s">
        <v>569</v>
      </c>
    </row>
    <row r="60" ht="33.75" customHeight="1">
      <c r="A60" s="14" t="s">
        <v>570</v>
      </c>
      <c r="B60" s="14" t="str">
        <f>IMAGE("https://lmztiles.s3.eu-west-1.amazonaws.com/Modern_Interiors_v41.3.4/1_Interiors/16x16/Theme_Sorter_Singles/4_Bedroom_Singles/Bedroom_Singles_60.png")</f>
        <v/>
      </c>
      <c r="C60" s="15" t="s">
        <v>571</v>
      </c>
    </row>
    <row r="61" ht="33.75" customHeight="1">
      <c r="A61" s="14" t="s">
        <v>572</v>
      </c>
      <c r="B61" s="14" t="str">
        <f>IMAGE("https://lmztiles.s3.eu-west-1.amazonaws.com/Modern_Interiors_v41.3.4/1_Interiors/16x16/Theme_Sorter_Singles/4_Bedroom_Singles/Bedroom_Singles_61.png")</f>
        <v/>
      </c>
      <c r="C61" s="15" t="s">
        <v>565</v>
      </c>
    </row>
    <row r="62" ht="33.75" customHeight="1">
      <c r="A62" s="14" t="s">
        <v>573</v>
      </c>
      <c r="B62" s="14" t="str">
        <f>IMAGE("https://lmztiles.s3.eu-west-1.amazonaws.com/Modern_Interiors_v41.3.4/1_Interiors/16x16/Theme_Sorter_Singles/4_Bedroom_Singles/Bedroom_Singles_62.png")</f>
        <v/>
      </c>
      <c r="C62" s="15" t="s">
        <v>574</v>
      </c>
    </row>
    <row r="63" ht="33.75" customHeight="1">
      <c r="A63" s="14" t="s">
        <v>575</v>
      </c>
      <c r="B63" s="14" t="str">
        <f>IMAGE("https://lmztiles.s3.eu-west-1.amazonaws.com/Modern_Interiors_v41.3.4/1_Interiors/16x16/Theme_Sorter_Singles/4_Bedroom_Singles/Bedroom_Singles_63.png")</f>
        <v/>
      </c>
      <c r="C63" s="15" t="s">
        <v>576</v>
      </c>
    </row>
    <row r="64" ht="33.75" customHeight="1">
      <c r="A64" s="14" t="s">
        <v>577</v>
      </c>
      <c r="B64" s="14" t="str">
        <f>IMAGE("https://lmztiles.s3.eu-west-1.amazonaws.com/Modern_Interiors_v41.3.4/1_Interiors/16x16/Theme_Sorter_Singles/4_Bedroom_Singles/Bedroom_Singles_64.png")</f>
        <v/>
      </c>
      <c r="C64" s="15" t="s">
        <v>578</v>
      </c>
    </row>
    <row r="65" ht="33.75" customHeight="1">
      <c r="A65" s="14" t="s">
        <v>579</v>
      </c>
      <c r="B65" s="14" t="str">
        <f>IMAGE("https://lmztiles.s3.eu-west-1.amazonaws.com/Modern_Interiors_v41.3.4/1_Interiors/16x16/Theme_Sorter_Singles/4_Bedroom_Singles/Bedroom_Singles_65.png")</f>
        <v/>
      </c>
      <c r="C65" s="15" t="s">
        <v>580</v>
      </c>
    </row>
    <row r="66" ht="33.75" customHeight="1">
      <c r="A66" s="14" t="s">
        <v>581</v>
      </c>
      <c r="B66" s="14" t="str">
        <f>IMAGE("https://lmztiles.s3.eu-west-1.amazonaws.com/Modern_Interiors_v41.3.4/1_Interiors/16x16/Theme_Sorter_Singles/4_Bedroom_Singles/Bedroom_Singles_66.png")</f>
        <v/>
      </c>
      <c r="C66" s="15" t="s">
        <v>582</v>
      </c>
    </row>
    <row r="67" ht="33.75" customHeight="1">
      <c r="A67" s="14" t="s">
        <v>583</v>
      </c>
      <c r="B67" s="14" t="str">
        <f>IMAGE("https://lmztiles.s3.eu-west-1.amazonaws.com/Modern_Interiors_v41.3.4/1_Interiors/16x16/Theme_Sorter_Singles/4_Bedroom_Singles/Bedroom_Singles_67.png")</f>
        <v/>
      </c>
      <c r="C67" s="15" t="s">
        <v>584</v>
      </c>
    </row>
    <row r="68" ht="33.75" customHeight="1">
      <c r="A68" s="14" t="s">
        <v>585</v>
      </c>
      <c r="B68" s="14" t="str">
        <f>IMAGE("https://lmztiles.s3.eu-west-1.amazonaws.com/Modern_Interiors_v41.3.4/1_Interiors/16x16/Theme_Sorter_Singles/4_Bedroom_Singles/Bedroom_Singles_68.png")</f>
        <v/>
      </c>
      <c r="C68" s="15" t="s">
        <v>586</v>
      </c>
    </row>
    <row r="69" ht="33.75" customHeight="1">
      <c r="A69" s="14" t="s">
        <v>587</v>
      </c>
      <c r="B69" s="14" t="str">
        <f>IMAGE("https://lmztiles.s3.eu-west-1.amazonaws.com/Modern_Interiors_v41.3.4/1_Interiors/16x16/Theme_Sorter_Singles/4_Bedroom_Singles/Bedroom_Singles_69.png")</f>
        <v/>
      </c>
      <c r="C69" s="15" t="s">
        <v>588</v>
      </c>
    </row>
    <row r="70" ht="33.75" customHeight="1">
      <c r="A70" s="14" t="s">
        <v>589</v>
      </c>
      <c r="B70" s="14" t="str">
        <f>IMAGE("https://lmztiles.s3.eu-west-1.amazonaws.com/Modern_Interiors_v41.3.4/1_Interiors/16x16/Theme_Sorter_Singles/4_Bedroom_Singles/Bedroom_Singles_70.png")</f>
        <v/>
      </c>
      <c r="C70" s="15" t="s">
        <v>590</v>
      </c>
    </row>
    <row r="71" ht="33.75" customHeight="1">
      <c r="A71" s="14" t="s">
        <v>591</v>
      </c>
      <c r="B71" s="14" t="str">
        <f>IMAGE("https://lmztiles.s3.eu-west-1.amazonaws.com/Modern_Interiors_v41.3.4/1_Interiors/16x16/Theme_Sorter_Singles/4_Bedroom_Singles/Bedroom_Singles_71.png")</f>
        <v/>
      </c>
      <c r="C71" s="15" t="s">
        <v>592</v>
      </c>
    </row>
    <row r="72" ht="33.75" customHeight="1">
      <c r="A72" s="14" t="s">
        <v>593</v>
      </c>
      <c r="B72" s="14" t="str">
        <f>IMAGE("https://lmztiles.s3.eu-west-1.amazonaws.com/Modern_Interiors_v41.3.4/1_Interiors/16x16/Theme_Sorter_Singles/4_Bedroom_Singles/Bedroom_Singles_72.png")</f>
        <v/>
      </c>
      <c r="C72" s="15" t="s">
        <v>594</v>
      </c>
    </row>
    <row r="73" ht="33.75" customHeight="1">
      <c r="A73" s="14" t="s">
        <v>595</v>
      </c>
      <c r="B73" s="14" t="str">
        <f>IMAGE("https://lmztiles.s3.eu-west-1.amazonaws.com/Modern_Interiors_v41.3.4/1_Interiors/16x16/Theme_Sorter_Singles/4_Bedroom_Singles/Bedroom_Singles_73.png")</f>
        <v/>
      </c>
      <c r="C73" s="15" t="s">
        <v>596</v>
      </c>
    </row>
    <row r="74" ht="33.75" customHeight="1">
      <c r="A74" s="14" t="s">
        <v>597</v>
      </c>
      <c r="B74" s="14" t="str">
        <f>IMAGE("https://lmztiles.s3.eu-west-1.amazonaws.com/Modern_Interiors_v41.3.4/1_Interiors/16x16/Theme_Sorter_Singles/4_Bedroom_Singles/Bedroom_Singles_74.png")</f>
        <v/>
      </c>
      <c r="C74" s="15" t="s">
        <v>598</v>
      </c>
    </row>
    <row r="75" ht="33.75" customHeight="1">
      <c r="A75" s="14" t="s">
        <v>599</v>
      </c>
      <c r="B75" s="14" t="str">
        <f>IMAGE("https://lmztiles.s3.eu-west-1.amazonaws.com/Modern_Interiors_v41.3.4/1_Interiors/16x16/Theme_Sorter_Singles/4_Bedroom_Singles/Bedroom_Singles_75.png")</f>
        <v/>
      </c>
      <c r="C75" s="15" t="s">
        <v>600</v>
      </c>
    </row>
    <row r="76" ht="33.75" customHeight="1">
      <c r="A76" s="14" t="s">
        <v>601</v>
      </c>
      <c r="B76" s="14" t="str">
        <f>IMAGE("https://lmztiles.s3.eu-west-1.amazonaws.com/Modern_Interiors_v41.3.4/1_Interiors/16x16/Theme_Sorter_Singles/4_Bedroom_Singles/Bedroom_Singles_76.png")</f>
        <v/>
      </c>
      <c r="C76" s="15" t="s">
        <v>602</v>
      </c>
    </row>
    <row r="77" ht="33.75" customHeight="1">
      <c r="A77" s="14" t="s">
        <v>603</v>
      </c>
      <c r="B77" s="14" t="str">
        <f>IMAGE("https://lmztiles.s3.eu-west-1.amazonaws.com/Modern_Interiors_v41.3.4/1_Interiors/16x16/Theme_Sorter_Singles/4_Bedroom_Singles/Bedroom_Singles_77.png")</f>
        <v/>
      </c>
      <c r="C77" s="15" t="s">
        <v>576</v>
      </c>
    </row>
    <row r="78" ht="33.75" customHeight="1">
      <c r="A78" s="14" t="s">
        <v>604</v>
      </c>
      <c r="B78" s="14" t="str">
        <f>IMAGE("https://lmztiles.s3.eu-west-1.amazonaws.com/Modern_Interiors_v41.3.4/1_Interiors/16x16/Theme_Sorter_Singles/4_Bedroom_Singles/Bedroom_Singles_78.png")</f>
        <v/>
      </c>
      <c r="C78" s="15" t="s">
        <v>578</v>
      </c>
    </row>
    <row r="79" ht="33.75" customHeight="1">
      <c r="A79" s="14" t="s">
        <v>605</v>
      </c>
      <c r="B79" s="14" t="str">
        <f>IMAGE("https://lmztiles.s3.eu-west-1.amazonaws.com/Modern_Interiors_v41.3.4/1_Interiors/16x16/Theme_Sorter_Singles/4_Bedroom_Singles/Bedroom_Singles_79.png")</f>
        <v/>
      </c>
      <c r="C79" s="15" t="s">
        <v>580</v>
      </c>
    </row>
    <row r="80" ht="33.75" customHeight="1">
      <c r="A80" s="14" t="s">
        <v>606</v>
      </c>
      <c r="B80" s="14" t="str">
        <f>IMAGE("https://lmztiles.s3.eu-west-1.amazonaws.com/Modern_Interiors_v41.3.4/1_Interiors/16x16/Theme_Sorter_Singles/4_Bedroom_Singles/Bedroom_Singles_80.png")</f>
        <v/>
      </c>
      <c r="C80" s="15" t="s">
        <v>582</v>
      </c>
    </row>
    <row r="81" ht="33.75" customHeight="1">
      <c r="A81" s="14" t="s">
        <v>607</v>
      </c>
      <c r="B81" s="14" t="str">
        <f>IMAGE("https://lmztiles.s3.eu-west-1.amazonaws.com/Modern_Interiors_v41.3.4/1_Interiors/16x16/Theme_Sorter_Singles/4_Bedroom_Singles/Bedroom_Singles_81.png")</f>
        <v/>
      </c>
      <c r="C81" s="15" t="s">
        <v>584</v>
      </c>
    </row>
    <row r="82" ht="33.75" customHeight="1">
      <c r="A82" s="14" t="s">
        <v>608</v>
      </c>
      <c r="B82" s="14" t="str">
        <f>IMAGE("https://lmztiles.s3.eu-west-1.amazonaws.com/Modern_Interiors_v41.3.4/1_Interiors/16x16/Theme_Sorter_Singles/4_Bedroom_Singles/Bedroom_Singles_82.png")</f>
        <v/>
      </c>
      <c r="C82" s="15" t="s">
        <v>586</v>
      </c>
    </row>
    <row r="83" ht="33.75" customHeight="1">
      <c r="A83" s="14" t="s">
        <v>609</v>
      </c>
      <c r="B83" s="14" t="str">
        <f>IMAGE("https://lmztiles.s3.eu-west-1.amazonaws.com/Modern_Interiors_v41.3.4/1_Interiors/16x16/Theme_Sorter_Singles/4_Bedroom_Singles/Bedroom_Singles_83.png")</f>
        <v/>
      </c>
      <c r="C83" s="15" t="s">
        <v>588</v>
      </c>
    </row>
    <row r="84" ht="33.75" customHeight="1">
      <c r="A84" s="14" t="s">
        <v>610</v>
      </c>
      <c r="B84" s="14" t="str">
        <f>IMAGE("https://lmztiles.s3.eu-west-1.amazonaws.com/Modern_Interiors_v41.3.4/1_Interiors/16x16/Theme_Sorter_Singles/4_Bedroom_Singles/Bedroom_Singles_84.png")</f>
        <v/>
      </c>
      <c r="C84" s="15" t="s">
        <v>590</v>
      </c>
    </row>
    <row r="85" ht="33.75" customHeight="1">
      <c r="A85" s="14" t="s">
        <v>611</v>
      </c>
      <c r="B85" s="14" t="str">
        <f>IMAGE("https://lmztiles.s3.eu-west-1.amazonaws.com/Modern_Interiors_v41.3.4/1_Interiors/16x16/Theme_Sorter_Singles/4_Bedroom_Singles/Bedroom_Singles_85.png")</f>
        <v/>
      </c>
      <c r="C85" s="15" t="s">
        <v>592</v>
      </c>
    </row>
    <row r="86" ht="33.75" customHeight="1">
      <c r="A86" s="14" t="s">
        <v>612</v>
      </c>
      <c r="B86" s="14" t="str">
        <f>IMAGE("https://lmztiles.s3.eu-west-1.amazonaws.com/Modern_Interiors_v41.3.4/1_Interiors/16x16/Theme_Sorter_Singles/4_Bedroom_Singles/Bedroom_Singles_86.png")</f>
        <v/>
      </c>
      <c r="C86" s="15" t="s">
        <v>594</v>
      </c>
    </row>
    <row r="87" ht="33.75" customHeight="1">
      <c r="A87" s="14" t="s">
        <v>613</v>
      </c>
      <c r="B87" s="14" t="str">
        <f>IMAGE("https://lmztiles.s3.eu-west-1.amazonaws.com/Modern_Interiors_v41.3.4/1_Interiors/16x16/Theme_Sorter_Singles/4_Bedroom_Singles/Bedroom_Singles_87.png")</f>
        <v/>
      </c>
      <c r="C87" s="15" t="s">
        <v>596</v>
      </c>
    </row>
    <row r="88" ht="33.75" customHeight="1">
      <c r="A88" s="14" t="s">
        <v>614</v>
      </c>
      <c r="B88" s="14" t="str">
        <f>IMAGE("https://lmztiles.s3.eu-west-1.amazonaws.com/Modern_Interiors_v41.3.4/1_Interiors/16x16/Theme_Sorter_Singles/4_Bedroom_Singles/Bedroom_Singles_88.png")</f>
        <v/>
      </c>
      <c r="C88" s="15" t="s">
        <v>598</v>
      </c>
    </row>
    <row r="89" ht="33.75" customHeight="1">
      <c r="A89" s="14" t="s">
        <v>615</v>
      </c>
      <c r="B89" s="14" t="str">
        <f>IMAGE("https://lmztiles.s3.eu-west-1.amazonaws.com/Modern_Interiors_v41.3.4/1_Interiors/16x16/Theme_Sorter_Singles/4_Bedroom_Singles/Bedroom_Singles_89.png")</f>
        <v/>
      </c>
      <c r="C89" s="15" t="s">
        <v>600</v>
      </c>
    </row>
    <row r="90" ht="33.75" customHeight="1">
      <c r="A90" s="14" t="s">
        <v>616</v>
      </c>
      <c r="B90" s="14" t="str">
        <f>IMAGE("https://lmztiles.s3.eu-west-1.amazonaws.com/Modern_Interiors_v41.3.4/1_Interiors/16x16/Theme_Sorter_Singles/4_Bedroom_Singles/Bedroom_Singles_90.png")</f>
        <v/>
      </c>
      <c r="C90" s="15" t="s">
        <v>602</v>
      </c>
    </row>
    <row r="91" ht="33.75" customHeight="1">
      <c r="A91" s="14" t="s">
        <v>617</v>
      </c>
      <c r="B91" s="14" t="str">
        <f>IMAGE("https://lmztiles.s3.eu-west-1.amazonaws.com/Modern_Interiors_v41.3.4/1_Interiors/16x16/Theme_Sorter_Singles/4_Bedroom_Singles/Bedroom_Singles_91.png")</f>
        <v/>
      </c>
      <c r="C91" s="15" t="s">
        <v>576</v>
      </c>
    </row>
    <row r="92" ht="33.75" customHeight="1">
      <c r="A92" s="14" t="s">
        <v>618</v>
      </c>
      <c r="B92" s="14" t="str">
        <f>IMAGE("https://lmztiles.s3.eu-west-1.amazonaws.com/Modern_Interiors_v41.3.4/1_Interiors/16x16/Theme_Sorter_Singles/4_Bedroom_Singles/Bedroom_Singles_92.png")</f>
        <v/>
      </c>
      <c r="C92" s="15" t="s">
        <v>578</v>
      </c>
    </row>
    <row r="93" ht="33.75" customHeight="1">
      <c r="A93" s="14" t="s">
        <v>619</v>
      </c>
      <c r="B93" s="14" t="str">
        <f>IMAGE("https://lmztiles.s3.eu-west-1.amazonaws.com/Modern_Interiors_v41.3.4/1_Interiors/16x16/Theme_Sorter_Singles/4_Bedroom_Singles/Bedroom_Singles_93.png")</f>
        <v/>
      </c>
      <c r="C93" s="15" t="s">
        <v>580</v>
      </c>
    </row>
    <row r="94" ht="33.75" customHeight="1">
      <c r="A94" s="14" t="s">
        <v>620</v>
      </c>
      <c r="B94" s="14" t="str">
        <f>IMAGE("https://lmztiles.s3.eu-west-1.amazonaws.com/Modern_Interiors_v41.3.4/1_Interiors/16x16/Theme_Sorter_Singles/4_Bedroom_Singles/Bedroom_Singles_94.png")</f>
        <v/>
      </c>
      <c r="C94" s="15" t="s">
        <v>582</v>
      </c>
    </row>
    <row r="95" ht="33.75" customHeight="1">
      <c r="A95" s="14" t="s">
        <v>621</v>
      </c>
      <c r="B95" s="14" t="str">
        <f>IMAGE("https://lmztiles.s3.eu-west-1.amazonaws.com/Modern_Interiors_v41.3.4/1_Interiors/16x16/Theme_Sorter_Singles/4_Bedroom_Singles/Bedroom_Singles_95.png")</f>
        <v/>
      </c>
      <c r="C95" s="15" t="s">
        <v>584</v>
      </c>
    </row>
    <row r="96" ht="33.75" customHeight="1">
      <c r="A96" s="14" t="s">
        <v>622</v>
      </c>
      <c r="B96" s="14" t="str">
        <f>IMAGE("https://lmztiles.s3.eu-west-1.amazonaws.com/Modern_Interiors_v41.3.4/1_Interiors/16x16/Theme_Sorter_Singles/4_Bedroom_Singles/Bedroom_Singles_96.png")</f>
        <v/>
      </c>
      <c r="C96" s="15" t="s">
        <v>586</v>
      </c>
    </row>
    <row r="97" ht="33.75" customHeight="1">
      <c r="A97" s="14" t="s">
        <v>623</v>
      </c>
      <c r="B97" s="14" t="str">
        <f>IMAGE("https://lmztiles.s3.eu-west-1.amazonaws.com/Modern_Interiors_v41.3.4/1_Interiors/16x16/Theme_Sorter_Singles/4_Bedroom_Singles/Bedroom_Singles_97.png")</f>
        <v/>
      </c>
      <c r="C97" s="15" t="s">
        <v>588</v>
      </c>
    </row>
    <row r="98" ht="33.75" customHeight="1">
      <c r="A98" s="14" t="s">
        <v>624</v>
      </c>
      <c r="B98" s="14" t="str">
        <f>IMAGE("https://lmztiles.s3.eu-west-1.amazonaws.com/Modern_Interiors_v41.3.4/1_Interiors/16x16/Theme_Sorter_Singles/4_Bedroom_Singles/Bedroom_Singles_98.png")</f>
        <v/>
      </c>
      <c r="C98" s="15" t="s">
        <v>590</v>
      </c>
    </row>
    <row r="99" ht="33.75" customHeight="1">
      <c r="A99" s="14" t="s">
        <v>625</v>
      </c>
      <c r="B99" s="14" t="str">
        <f>IMAGE("https://lmztiles.s3.eu-west-1.amazonaws.com/Modern_Interiors_v41.3.4/1_Interiors/16x16/Theme_Sorter_Singles/4_Bedroom_Singles/Bedroom_Singles_99.png")</f>
        <v/>
      </c>
      <c r="C99" s="15" t="s">
        <v>592</v>
      </c>
    </row>
    <row r="100" ht="33.75" customHeight="1">
      <c r="A100" s="14" t="s">
        <v>626</v>
      </c>
      <c r="B100" s="14" t="str">
        <f>IMAGE("https://lmztiles.s3.eu-west-1.amazonaws.com/Modern_Interiors_v41.3.4/1_Interiors/16x16/Theme_Sorter_Singles/4_Bedroom_Singles/Bedroom_Singles_100.png")</f>
        <v/>
      </c>
      <c r="C100" s="15" t="s">
        <v>594</v>
      </c>
    </row>
    <row r="101" ht="33.75" customHeight="1">
      <c r="A101" s="14" t="s">
        <v>627</v>
      </c>
      <c r="B101" s="14" t="str">
        <f>IMAGE("https://lmztiles.s3.eu-west-1.amazonaws.com/Modern_Interiors_v41.3.4/1_Interiors/16x16/Theme_Sorter_Singles/4_Bedroom_Singles/Bedroom_Singles_101.png")</f>
        <v/>
      </c>
      <c r="C101" s="15" t="s">
        <v>596</v>
      </c>
    </row>
    <row r="102" ht="33.75" customHeight="1">
      <c r="A102" s="14" t="s">
        <v>628</v>
      </c>
      <c r="B102" s="14" t="str">
        <f>IMAGE("https://lmztiles.s3.eu-west-1.amazonaws.com/Modern_Interiors_v41.3.4/1_Interiors/16x16/Theme_Sorter_Singles/4_Bedroom_Singles/Bedroom_Singles_102.png")</f>
        <v/>
      </c>
      <c r="C102" s="15" t="s">
        <v>598</v>
      </c>
    </row>
    <row r="103" ht="33.75" customHeight="1">
      <c r="A103" s="14" t="s">
        <v>629</v>
      </c>
      <c r="B103" s="14" t="str">
        <f>IMAGE("https://lmztiles.s3.eu-west-1.amazonaws.com/Modern_Interiors_v41.3.4/1_Interiors/16x16/Theme_Sorter_Singles/4_Bedroom_Singles/Bedroom_Singles_103.png")</f>
        <v/>
      </c>
      <c r="C103" s="15" t="s">
        <v>600</v>
      </c>
    </row>
    <row r="104" ht="33.75" customHeight="1">
      <c r="A104" s="14" t="s">
        <v>630</v>
      </c>
      <c r="B104" s="14" t="str">
        <f>IMAGE("https://lmztiles.s3.eu-west-1.amazonaws.com/Modern_Interiors_v41.3.4/1_Interiors/16x16/Theme_Sorter_Singles/4_Bedroom_Singles/Bedroom_Singles_104.png")</f>
        <v/>
      </c>
      <c r="C104" s="15" t="s">
        <v>602</v>
      </c>
    </row>
    <row r="105" ht="33.75" customHeight="1">
      <c r="A105" s="14" t="s">
        <v>631</v>
      </c>
      <c r="B105" s="14" t="str">
        <f>IMAGE("https://lmztiles.s3.eu-west-1.amazonaws.com/Modern_Interiors_v41.3.4/1_Interiors/16x16/Theme_Sorter_Singles/4_Bedroom_Singles/Bedroom_Singles_105.png")</f>
        <v/>
      </c>
      <c r="C105" s="15" t="s">
        <v>576</v>
      </c>
    </row>
    <row r="106" ht="33.75" customHeight="1">
      <c r="A106" s="14" t="s">
        <v>632</v>
      </c>
      <c r="B106" s="14" t="str">
        <f>IMAGE("https://lmztiles.s3.eu-west-1.amazonaws.com/Modern_Interiors_v41.3.4/1_Interiors/16x16/Theme_Sorter_Singles/4_Bedroom_Singles/Bedroom_Singles_106.png")</f>
        <v/>
      </c>
      <c r="C106" s="15" t="s">
        <v>578</v>
      </c>
    </row>
    <row r="107" ht="33.75" customHeight="1">
      <c r="A107" s="14" t="s">
        <v>633</v>
      </c>
      <c r="B107" s="14" t="str">
        <f>IMAGE("https://lmztiles.s3.eu-west-1.amazonaws.com/Modern_Interiors_v41.3.4/1_Interiors/16x16/Theme_Sorter_Singles/4_Bedroom_Singles/Bedroom_Singles_107.png")</f>
        <v/>
      </c>
      <c r="C107" s="15" t="s">
        <v>580</v>
      </c>
    </row>
    <row r="108" ht="33.75" customHeight="1">
      <c r="A108" s="14" t="s">
        <v>634</v>
      </c>
      <c r="B108" s="14" t="str">
        <f>IMAGE("https://lmztiles.s3.eu-west-1.amazonaws.com/Modern_Interiors_v41.3.4/1_Interiors/16x16/Theme_Sorter_Singles/4_Bedroom_Singles/Bedroom_Singles_108.png")</f>
        <v/>
      </c>
      <c r="C108" s="15" t="s">
        <v>582</v>
      </c>
    </row>
    <row r="109" ht="33.75" customHeight="1">
      <c r="A109" s="14" t="s">
        <v>635</v>
      </c>
      <c r="B109" s="14" t="str">
        <f>IMAGE("https://lmztiles.s3.eu-west-1.amazonaws.com/Modern_Interiors_v41.3.4/1_Interiors/16x16/Theme_Sorter_Singles/4_Bedroom_Singles/Bedroom_Singles_109.png")</f>
        <v/>
      </c>
      <c r="C109" s="15" t="s">
        <v>584</v>
      </c>
    </row>
    <row r="110" ht="33.75" customHeight="1">
      <c r="A110" s="14" t="s">
        <v>636</v>
      </c>
      <c r="B110" s="14" t="str">
        <f>IMAGE("https://lmztiles.s3.eu-west-1.amazonaws.com/Modern_Interiors_v41.3.4/1_Interiors/16x16/Theme_Sorter_Singles/4_Bedroom_Singles/Bedroom_Singles_110.png")</f>
        <v/>
      </c>
      <c r="C110" s="15" t="s">
        <v>586</v>
      </c>
    </row>
    <row r="111" ht="33.75" customHeight="1">
      <c r="A111" s="14" t="s">
        <v>637</v>
      </c>
      <c r="B111" s="14" t="str">
        <f>IMAGE("https://lmztiles.s3.eu-west-1.amazonaws.com/Modern_Interiors_v41.3.4/1_Interiors/16x16/Theme_Sorter_Singles/4_Bedroom_Singles/Bedroom_Singles_111.png")</f>
        <v/>
      </c>
      <c r="C111" s="15" t="s">
        <v>588</v>
      </c>
    </row>
    <row r="112" ht="33.75" customHeight="1">
      <c r="A112" s="14" t="s">
        <v>638</v>
      </c>
      <c r="B112" s="14" t="str">
        <f>IMAGE("https://lmztiles.s3.eu-west-1.amazonaws.com/Modern_Interiors_v41.3.4/1_Interiors/16x16/Theme_Sorter_Singles/4_Bedroom_Singles/Bedroom_Singles_112.png")</f>
        <v/>
      </c>
      <c r="C112" s="15" t="s">
        <v>590</v>
      </c>
    </row>
    <row r="113" ht="33.75" customHeight="1">
      <c r="A113" s="14" t="s">
        <v>639</v>
      </c>
      <c r="B113" s="14" t="str">
        <f>IMAGE("https://lmztiles.s3.eu-west-1.amazonaws.com/Modern_Interiors_v41.3.4/1_Interiors/16x16/Theme_Sorter_Singles/4_Bedroom_Singles/Bedroom_Singles_113.png")</f>
        <v/>
      </c>
      <c r="C113" s="15" t="s">
        <v>592</v>
      </c>
    </row>
    <row r="114" ht="33.75" customHeight="1">
      <c r="A114" s="14" t="s">
        <v>640</v>
      </c>
      <c r="B114" s="14" t="str">
        <f>IMAGE("https://lmztiles.s3.eu-west-1.amazonaws.com/Modern_Interiors_v41.3.4/1_Interiors/16x16/Theme_Sorter_Singles/4_Bedroom_Singles/Bedroom_Singles_114.png")</f>
        <v/>
      </c>
      <c r="C114" s="15" t="s">
        <v>594</v>
      </c>
    </row>
    <row r="115" ht="33.75" customHeight="1">
      <c r="A115" s="14" t="s">
        <v>641</v>
      </c>
      <c r="B115" s="14" t="str">
        <f>IMAGE("https://lmztiles.s3.eu-west-1.amazonaws.com/Modern_Interiors_v41.3.4/1_Interiors/16x16/Theme_Sorter_Singles/4_Bedroom_Singles/Bedroom_Singles_115.png")</f>
        <v/>
      </c>
      <c r="C115" s="15" t="s">
        <v>596</v>
      </c>
    </row>
    <row r="116" ht="33.75" customHeight="1">
      <c r="A116" s="14" t="s">
        <v>642</v>
      </c>
      <c r="B116" s="14" t="str">
        <f>IMAGE("https://lmztiles.s3.eu-west-1.amazonaws.com/Modern_Interiors_v41.3.4/1_Interiors/16x16/Theme_Sorter_Singles/4_Bedroom_Singles/Bedroom_Singles_116.png")</f>
        <v/>
      </c>
      <c r="C116" s="15" t="s">
        <v>598</v>
      </c>
    </row>
    <row r="117" ht="33.75" customHeight="1">
      <c r="A117" s="14" t="s">
        <v>643</v>
      </c>
      <c r="B117" s="14" t="str">
        <f>IMAGE("https://lmztiles.s3.eu-west-1.amazonaws.com/Modern_Interiors_v41.3.4/1_Interiors/16x16/Theme_Sorter_Singles/4_Bedroom_Singles/Bedroom_Singles_117.png")</f>
        <v/>
      </c>
      <c r="C117" s="15" t="s">
        <v>600</v>
      </c>
    </row>
    <row r="118" ht="33.75" customHeight="1">
      <c r="A118" s="14" t="s">
        <v>644</v>
      </c>
      <c r="B118" s="14" t="str">
        <f>IMAGE("https://lmztiles.s3.eu-west-1.amazonaws.com/Modern_Interiors_v41.3.4/1_Interiors/16x16/Theme_Sorter_Singles/4_Bedroom_Singles/Bedroom_Singles_118.png")</f>
        <v/>
      </c>
      <c r="C118" s="15" t="s">
        <v>602</v>
      </c>
    </row>
    <row r="119" ht="33.75" customHeight="1">
      <c r="A119" s="14" t="s">
        <v>645</v>
      </c>
      <c r="B119" s="14" t="str">
        <f>IMAGE("https://lmztiles.s3.eu-west-1.amazonaws.com/Modern_Interiors_v41.3.4/1_Interiors/16x16/Theme_Sorter_Singles/4_Bedroom_Singles/Bedroom_Singles_119.png")</f>
        <v/>
      </c>
      <c r="C119" s="15" t="s">
        <v>646</v>
      </c>
    </row>
    <row r="120" ht="33.75" customHeight="1">
      <c r="A120" s="14" t="s">
        <v>647</v>
      </c>
      <c r="B120" s="14" t="str">
        <f>IMAGE("https://lmztiles.s3.eu-west-1.amazonaws.com/Modern_Interiors_v41.3.4/1_Interiors/16x16/Theme_Sorter_Singles/4_Bedroom_Singles/Bedroom_Singles_120.png")</f>
        <v/>
      </c>
      <c r="C120" s="15" t="s">
        <v>648</v>
      </c>
    </row>
    <row r="121" ht="33.75" customHeight="1">
      <c r="A121" s="14" t="s">
        <v>649</v>
      </c>
      <c r="B121" s="14" t="str">
        <f>IMAGE("https://lmztiles.s3.eu-west-1.amazonaws.com/Modern_Interiors_v41.3.4/1_Interiors/16x16/Theme_Sorter_Singles/4_Bedroom_Singles/Bedroom_Singles_121.png")</f>
        <v/>
      </c>
      <c r="C121" s="15" t="s">
        <v>650</v>
      </c>
    </row>
    <row r="122" ht="33.75" customHeight="1">
      <c r="A122" s="14" t="s">
        <v>651</v>
      </c>
      <c r="B122" s="14" t="str">
        <f>IMAGE("https://lmztiles.s3.eu-west-1.amazonaws.com/Modern_Interiors_v41.3.4/1_Interiors/16x16/Theme_Sorter_Singles/4_Bedroom_Singles/Bedroom_Singles_122.png")</f>
        <v/>
      </c>
      <c r="C122" s="15" t="s">
        <v>652</v>
      </c>
    </row>
    <row r="123" ht="33.75" customHeight="1">
      <c r="A123" s="14" t="s">
        <v>653</v>
      </c>
      <c r="B123" s="14" t="str">
        <f>IMAGE("https://lmztiles.s3.eu-west-1.amazonaws.com/Modern_Interiors_v41.3.4/1_Interiors/16x16/Theme_Sorter_Singles/4_Bedroom_Singles/Bedroom_Singles_123.png")</f>
        <v/>
      </c>
      <c r="C123" s="15" t="s">
        <v>646</v>
      </c>
    </row>
    <row r="124" ht="33.75" customHeight="1">
      <c r="A124" s="14" t="s">
        <v>654</v>
      </c>
      <c r="B124" s="14" t="str">
        <f>IMAGE("https://lmztiles.s3.eu-west-1.amazonaws.com/Modern_Interiors_v41.3.4/1_Interiors/16x16/Theme_Sorter_Singles/4_Bedroom_Singles/Bedroom_Singles_124.png")</f>
        <v/>
      </c>
      <c r="C124" s="15" t="s">
        <v>655</v>
      </c>
    </row>
    <row r="125" ht="33.75" customHeight="1">
      <c r="A125" s="14" t="s">
        <v>656</v>
      </c>
      <c r="B125" s="14" t="str">
        <f>IMAGE("https://lmztiles.s3.eu-west-1.amazonaws.com/Modern_Interiors_v41.3.4/1_Interiors/16x16/Theme_Sorter_Singles/4_Bedroom_Singles/Bedroom_Singles_125.png")</f>
        <v/>
      </c>
      <c r="C125" s="15" t="s">
        <v>657</v>
      </c>
    </row>
    <row r="126" ht="33.75" customHeight="1">
      <c r="A126" s="14" t="s">
        <v>658</v>
      </c>
      <c r="B126" s="14" t="str">
        <f>IMAGE("https://lmztiles.s3.eu-west-1.amazonaws.com/Modern_Interiors_v41.3.4/1_Interiors/16x16/Theme_Sorter_Singles/4_Bedroom_Singles/Bedroom_Singles_126.png")</f>
        <v/>
      </c>
      <c r="C126" s="15" t="s">
        <v>659</v>
      </c>
    </row>
    <row r="127" ht="33.75" customHeight="1">
      <c r="A127" s="14" t="s">
        <v>660</v>
      </c>
      <c r="B127" s="14" t="str">
        <f>IMAGE("https://lmztiles.s3.eu-west-1.amazonaws.com/Modern_Interiors_v41.3.4/1_Interiors/16x16/Theme_Sorter_Singles/4_Bedroom_Singles/Bedroom_Singles_127.png")</f>
        <v/>
      </c>
      <c r="C127" s="15" t="s">
        <v>659</v>
      </c>
    </row>
    <row r="128" ht="33.75" customHeight="1">
      <c r="A128" s="14" t="s">
        <v>661</v>
      </c>
      <c r="B128" s="14" t="str">
        <f>IMAGE("https://lmztiles.s3.eu-west-1.amazonaws.com/Modern_Interiors_v41.3.4/1_Interiors/16x16/Theme_Sorter_Singles/4_Bedroom_Singles/Bedroom_Singles_128.png")</f>
        <v/>
      </c>
      <c r="C128" s="15" t="s">
        <v>662</v>
      </c>
    </row>
    <row r="129" ht="33.75" customHeight="1">
      <c r="A129" s="14" t="s">
        <v>663</v>
      </c>
      <c r="B129" s="14" t="str">
        <f>IMAGE("https://lmztiles.s3.eu-west-1.amazonaws.com/Modern_Interiors_v41.3.4/1_Interiors/16x16/Theme_Sorter_Singles/4_Bedroom_Singles/Bedroom_Singles_129.png")</f>
        <v/>
      </c>
      <c r="C129" s="15" t="s">
        <v>664</v>
      </c>
    </row>
    <row r="130" ht="33.75" customHeight="1">
      <c r="A130" s="14" t="s">
        <v>665</v>
      </c>
      <c r="B130" s="14" t="str">
        <f>IMAGE("https://lmztiles.s3.eu-west-1.amazonaws.com/Modern_Interiors_v41.3.4/1_Interiors/16x16/Theme_Sorter_Singles/4_Bedroom_Singles/Bedroom_Singles_130.png")</f>
        <v/>
      </c>
      <c r="C130" s="15" t="s">
        <v>666</v>
      </c>
    </row>
    <row r="131" ht="33.75" customHeight="1">
      <c r="A131" s="14" t="s">
        <v>667</v>
      </c>
      <c r="B131" s="14" t="str">
        <f>IMAGE("https://lmztiles.s3.eu-west-1.amazonaws.com/Modern_Interiors_v41.3.4/1_Interiors/16x16/Theme_Sorter_Singles/4_Bedroom_Singles/Bedroom_Singles_131.png")</f>
        <v/>
      </c>
      <c r="C131" s="15" t="s">
        <v>668</v>
      </c>
    </row>
    <row r="132" ht="33.75" customHeight="1">
      <c r="A132" s="14" t="s">
        <v>669</v>
      </c>
      <c r="B132" s="14" t="str">
        <f>IMAGE("https://lmztiles.s3.eu-west-1.amazonaws.com/Modern_Interiors_v41.3.4/1_Interiors/16x16/Theme_Sorter_Singles/4_Bedroom_Singles/Bedroom_Singles_132.png")</f>
        <v/>
      </c>
      <c r="C132" s="15" t="s">
        <v>670</v>
      </c>
    </row>
    <row r="133" ht="33.75" customHeight="1">
      <c r="A133" s="14" t="s">
        <v>671</v>
      </c>
      <c r="B133" s="14" t="str">
        <f>IMAGE("https://lmztiles.s3.eu-west-1.amazonaws.com/Modern_Interiors_v41.3.4/1_Interiors/16x16/Theme_Sorter_Singles/4_Bedroom_Singles/Bedroom_Singles_133.png")</f>
        <v/>
      </c>
      <c r="C133" s="15" t="s">
        <v>672</v>
      </c>
    </row>
    <row r="134" ht="33.75" customHeight="1">
      <c r="A134" s="14" t="s">
        <v>673</v>
      </c>
      <c r="B134" s="14" t="str">
        <f>IMAGE("https://lmztiles.s3.eu-west-1.amazonaws.com/Modern_Interiors_v41.3.4/1_Interiors/16x16/Theme_Sorter_Singles/4_Bedroom_Singles/Bedroom_Singles_134.png")</f>
        <v/>
      </c>
      <c r="C134" s="15" t="s">
        <v>674</v>
      </c>
    </row>
    <row r="135" ht="33.75" customHeight="1">
      <c r="A135" s="14" t="s">
        <v>675</v>
      </c>
      <c r="B135" s="14" t="str">
        <f>IMAGE("https://lmztiles.s3.eu-west-1.amazonaws.com/Modern_Interiors_v41.3.4/1_Interiors/16x16/Theme_Sorter_Singles/4_Bedroom_Singles/Bedroom_Singles_136.png")</f>
        <v/>
      </c>
      <c r="C135" s="15" t="s">
        <v>668</v>
      </c>
    </row>
    <row r="136" ht="33.75" customHeight="1">
      <c r="A136" s="14" t="s">
        <v>676</v>
      </c>
      <c r="B136" s="14" t="str">
        <f>IMAGE("https://lmztiles.s3.eu-west-1.amazonaws.com/Modern_Interiors_v41.3.4/1_Interiors/16x16/Theme_Sorter_Singles/4_Bedroom_Singles/Bedroom_Singles_137.png")</f>
        <v/>
      </c>
      <c r="C136" s="15" t="s">
        <v>677</v>
      </c>
    </row>
    <row r="137" ht="33.75" customHeight="1">
      <c r="A137" s="14" t="s">
        <v>678</v>
      </c>
      <c r="B137" s="14" t="str">
        <f>IMAGE("https://lmztiles.s3.eu-west-1.amazonaws.com/Modern_Interiors_v41.3.4/1_Interiors/16x16/Theme_Sorter_Singles/4_Bedroom_Singles/Bedroom_Singles_139.png")</f>
        <v/>
      </c>
      <c r="C137" s="15" t="s">
        <v>679</v>
      </c>
    </row>
    <row r="138" ht="33.75" customHeight="1">
      <c r="A138" s="14" t="s">
        <v>680</v>
      </c>
      <c r="B138" s="14" t="str">
        <f>IMAGE("https://lmztiles.s3.eu-west-1.amazonaws.com/Modern_Interiors_v41.3.4/1_Interiors/16x16/Theme_Sorter_Singles/4_Bedroom_Singles/Bedroom_Singles_140.png")</f>
        <v/>
      </c>
      <c r="C138" s="14"/>
    </row>
    <row r="139" ht="33.75" customHeight="1">
      <c r="A139" s="14" t="s">
        <v>681</v>
      </c>
      <c r="B139" s="14" t="str">
        <f>IMAGE("https://lmztiles.s3.eu-west-1.amazonaws.com/Modern_Interiors_v41.3.4/1_Interiors/16x16/Theme_Sorter_Singles/4_Bedroom_Singles/Bedroom_Singles_141.png")</f>
        <v/>
      </c>
      <c r="C139" s="14"/>
    </row>
    <row r="140" ht="33.75" customHeight="1">
      <c r="A140" s="14" t="s">
        <v>682</v>
      </c>
      <c r="B140" s="14" t="str">
        <f>IMAGE("https://lmztiles.s3.eu-west-1.amazonaws.com/Modern_Interiors_v41.3.4/1_Interiors/16x16/Theme_Sorter_Singles/4_Bedroom_Singles/Bedroom_Singles_142.png")</f>
        <v/>
      </c>
      <c r="C140" s="14"/>
    </row>
    <row r="141" ht="33.75" customHeight="1">
      <c r="A141" s="14" t="s">
        <v>683</v>
      </c>
      <c r="B141" s="14" t="str">
        <f>IMAGE("https://lmztiles.s3.eu-west-1.amazonaws.com/Modern_Interiors_v41.3.4/1_Interiors/16x16/Theme_Sorter_Singles/4_Bedroom_Singles/Bedroom_Singles_143.png")</f>
        <v/>
      </c>
      <c r="C141" s="14"/>
    </row>
    <row r="142" ht="33.75" customHeight="1">
      <c r="A142" s="14" t="s">
        <v>684</v>
      </c>
      <c r="B142" s="14" t="str">
        <f>IMAGE("https://lmztiles.s3.eu-west-1.amazonaws.com/Modern_Interiors_v41.3.4/1_Interiors/16x16/Theme_Sorter_Singles/4_Bedroom_Singles/Bedroom_Singles_144.png")</f>
        <v/>
      </c>
      <c r="C142" s="14"/>
    </row>
    <row r="143" ht="33.75" customHeight="1">
      <c r="A143" s="14" t="s">
        <v>685</v>
      </c>
      <c r="B143" s="14" t="str">
        <f>IMAGE("https://lmztiles.s3.eu-west-1.amazonaws.com/Modern_Interiors_v41.3.4/1_Interiors/16x16/Theme_Sorter_Singles/4_Bedroom_Singles/Bedroom_Singles_145.png")</f>
        <v/>
      </c>
      <c r="C143" s="14"/>
    </row>
    <row r="144" ht="33.75" customHeight="1">
      <c r="A144" s="14" t="s">
        <v>686</v>
      </c>
      <c r="B144" s="14" t="str">
        <f>IMAGE("https://lmztiles.s3.eu-west-1.amazonaws.com/Modern_Interiors_v41.3.4/1_Interiors/16x16/Theme_Sorter_Singles/4_Bedroom_Singles/Bedroom_Singles_146.png")</f>
        <v/>
      </c>
      <c r="C144" s="14"/>
    </row>
    <row r="145" ht="33.75" customHeight="1">
      <c r="A145" s="14" t="s">
        <v>687</v>
      </c>
      <c r="B145" s="14" t="str">
        <f>IMAGE("https://lmztiles.s3.eu-west-1.amazonaws.com/Modern_Interiors_v41.3.4/1_Interiors/16x16/Theme_Sorter_Singles/4_Bedroom_Singles/Bedroom_Singles_147.png")</f>
        <v/>
      </c>
      <c r="C145" s="14"/>
    </row>
    <row r="146" ht="33.75" customHeight="1">
      <c r="A146" s="14" t="s">
        <v>688</v>
      </c>
      <c r="B146" s="14" t="str">
        <f>IMAGE("https://lmztiles.s3.eu-west-1.amazonaws.com/Modern_Interiors_v41.3.4/1_Interiors/16x16/Theme_Sorter_Singles/4_Bedroom_Singles/Bedroom_Singles_148.png")</f>
        <v/>
      </c>
      <c r="C146" s="14"/>
    </row>
    <row r="147" ht="33.75" customHeight="1">
      <c r="A147" s="14" t="s">
        <v>689</v>
      </c>
      <c r="B147" s="14" t="str">
        <f>IMAGE("https://lmztiles.s3.eu-west-1.amazonaws.com/Modern_Interiors_v41.3.4/1_Interiors/16x16/Theme_Sorter_Singles/4_Bedroom_Singles/Bedroom_Singles_149.png")</f>
        <v/>
      </c>
      <c r="C147" s="14"/>
    </row>
    <row r="148" ht="33.75" customHeight="1">
      <c r="A148" s="14" t="s">
        <v>690</v>
      </c>
      <c r="B148" s="14" t="str">
        <f>IMAGE("https://lmztiles.s3.eu-west-1.amazonaws.com/Modern_Interiors_v41.3.4/1_Interiors/16x16/Theme_Sorter_Singles/4_Bedroom_Singles/Bedroom_Singles_150.png")</f>
        <v/>
      </c>
      <c r="C148" s="14"/>
    </row>
    <row r="149" ht="33.75" customHeight="1">
      <c r="A149" s="14" t="s">
        <v>691</v>
      </c>
      <c r="B149" s="14" t="str">
        <f>IMAGE("https://lmztiles.s3.eu-west-1.amazonaws.com/Modern_Interiors_v41.3.4/1_Interiors/16x16/Theme_Sorter_Singles/4_Bedroom_Singles/Bedroom_Singles_151.png")</f>
        <v/>
      </c>
      <c r="C149" s="14"/>
    </row>
    <row r="150" ht="33.75" customHeight="1">
      <c r="A150" s="14" t="s">
        <v>692</v>
      </c>
      <c r="B150" s="14" t="str">
        <f>IMAGE("https://lmztiles.s3.eu-west-1.amazonaws.com/Modern_Interiors_v41.3.4/1_Interiors/16x16/Theme_Sorter_Singles/4_Bedroom_Singles/Bedroom_Singles_152.png")</f>
        <v/>
      </c>
      <c r="C150" s="14"/>
    </row>
    <row r="151" ht="33.75" customHeight="1">
      <c r="A151" s="14" t="s">
        <v>693</v>
      </c>
      <c r="B151" s="14" t="str">
        <f>IMAGE("https://lmztiles.s3.eu-west-1.amazonaws.com/Modern_Interiors_v41.3.4/1_Interiors/16x16/Theme_Sorter_Singles/4_Bedroom_Singles/Bedroom_Singles_153.png")</f>
        <v/>
      </c>
      <c r="C151" s="14"/>
    </row>
    <row r="152" ht="33.75" customHeight="1">
      <c r="A152" s="14" t="s">
        <v>694</v>
      </c>
      <c r="B152" s="14" t="str">
        <f>IMAGE("https://lmztiles.s3.eu-west-1.amazonaws.com/Modern_Interiors_v41.3.4/1_Interiors/16x16/Theme_Sorter_Singles/4_Bedroom_Singles/Bedroom_Singles_154.png")</f>
        <v/>
      </c>
      <c r="C152" s="14"/>
    </row>
    <row r="153" ht="33.75" customHeight="1">
      <c r="A153" s="14" t="s">
        <v>695</v>
      </c>
      <c r="B153" s="14" t="str">
        <f>IMAGE("https://lmztiles.s3.eu-west-1.amazonaws.com/Modern_Interiors_v41.3.4/1_Interiors/16x16/Theme_Sorter_Singles/4_Bedroom_Singles/Bedroom_Singles_155.png")</f>
        <v/>
      </c>
      <c r="C153" s="14"/>
    </row>
    <row r="154" ht="33.75" customHeight="1">
      <c r="A154" s="14" t="s">
        <v>696</v>
      </c>
      <c r="B154" s="14" t="str">
        <f>IMAGE("https://lmztiles.s3.eu-west-1.amazonaws.com/Modern_Interiors_v41.3.4/1_Interiors/16x16/Theme_Sorter_Singles/4_Bedroom_Singles/Bedroom_Singles_156.png")</f>
        <v/>
      </c>
      <c r="C154" s="14"/>
    </row>
    <row r="155" ht="33.75" customHeight="1">
      <c r="A155" s="14" t="s">
        <v>697</v>
      </c>
      <c r="B155" s="14" t="str">
        <f>IMAGE("https://lmztiles.s3.eu-west-1.amazonaws.com/Modern_Interiors_v41.3.4/1_Interiors/16x16/Theme_Sorter_Singles/4_Bedroom_Singles/Bedroom_Singles_157.png")</f>
        <v/>
      </c>
      <c r="C155" s="14"/>
    </row>
    <row r="156" ht="33.75" customHeight="1">
      <c r="A156" s="14" t="s">
        <v>698</v>
      </c>
      <c r="B156" s="14" t="str">
        <f>IMAGE("https://lmztiles.s3.eu-west-1.amazonaws.com/Modern_Interiors_v41.3.4/1_Interiors/16x16/Theme_Sorter_Singles/4_Bedroom_Singles/Bedroom_Singles_158.png")</f>
        <v/>
      </c>
      <c r="C156" s="14"/>
    </row>
    <row r="157" ht="33.75" customHeight="1">
      <c r="A157" s="14" t="s">
        <v>699</v>
      </c>
      <c r="B157" s="14" t="str">
        <f>IMAGE("https://lmztiles.s3.eu-west-1.amazonaws.com/Modern_Interiors_v41.3.4/1_Interiors/16x16/Theme_Sorter_Singles/4_Bedroom_Singles/Bedroom_Singles_159.png")</f>
        <v/>
      </c>
      <c r="C157" s="14"/>
    </row>
    <row r="158" ht="33.75" customHeight="1">
      <c r="A158" s="14" t="s">
        <v>700</v>
      </c>
      <c r="B158" s="14" t="str">
        <f>IMAGE("https://lmztiles.s3.eu-west-1.amazonaws.com/Modern_Interiors_v41.3.4/1_Interiors/16x16/Theme_Sorter_Singles/4_Bedroom_Singles/Bedroom_Singles_160.png")</f>
        <v/>
      </c>
      <c r="C158" s="14"/>
    </row>
    <row r="159" ht="33.75" customHeight="1">
      <c r="A159" s="14" t="s">
        <v>701</v>
      </c>
      <c r="B159" s="14" t="str">
        <f>IMAGE("https://lmztiles.s3.eu-west-1.amazonaws.com/Modern_Interiors_v41.3.4/1_Interiors/16x16/Theme_Sorter_Singles/4_Bedroom_Singles/Bedroom_Singles_161.png")</f>
        <v/>
      </c>
      <c r="C159" s="14"/>
    </row>
    <row r="160" ht="33.75" customHeight="1">
      <c r="A160" s="14" t="s">
        <v>702</v>
      </c>
      <c r="B160" s="14" t="str">
        <f>IMAGE("https://lmztiles.s3.eu-west-1.amazonaws.com/Modern_Interiors_v41.3.4/1_Interiors/16x16/Theme_Sorter_Singles/4_Bedroom_Singles/Bedroom_Singles_162.png")</f>
        <v/>
      </c>
      <c r="C160" s="14"/>
    </row>
    <row r="161" ht="33.75" customHeight="1">
      <c r="A161" s="14" t="s">
        <v>703</v>
      </c>
      <c r="B161" s="14" t="str">
        <f>IMAGE("https://lmztiles.s3.eu-west-1.amazonaws.com/Modern_Interiors_v41.3.4/1_Interiors/16x16/Theme_Sorter_Singles/4_Bedroom_Singles/Bedroom_Singles_163.png")</f>
        <v/>
      </c>
      <c r="C161" s="14"/>
    </row>
    <row r="162" ht="33.75" customHeight="1">
      <c r="A162" s="14" t="s">
        <v>704</v>
      </c>
      <c r="B162" s="14" t="str">
        <f>IMAGE("https://lmztiles.s3.eu-west-1.amazonaws.com/Modern_Interiors_v41.3.4/1_Interiors/16x16/Theme_Sorter_Singles/4_Bedroom_Singles/Bedroom_Singles_164.png")</f>
        <v/>
      </c>
      <c r="C162" s="14"/>
    </row>
    <row r="163" ht="33.75" customHeight="1">
      <c r="A163" s="14" t="s">
        <v>705</v>
      </c>
      <c r="B163" s="14" t="str">
        <f>IMAGE("https://lmztiles.s3.eu-west-1.amazonaws.com/Modern_Interiors_v41.3.4/1_Interiors/16x16/Theme_Sorter_Singles/4_Bedroom_Singles/Bedroom_Singles_165.png")</f>
        <v/>
      </c>
      <c r="C163" s="14"/>
    </row>
    <row r="164" ht="33.75" customHeight="1">
      <c r="A164" s="14" t="s">
        <v>706</v>
      </c>
      <c r="B164" s="14" t="str">
        <f>IMAGE("https://lmztiles.s3.eu-west-1.amazonaws.com/Modern_Interiors_v41.3.4/1_Interiors/16x16/Theme_Sorter_Singles/4_Bedroom_Singles/Bedroom_Singles_166.png")</f>
        <v/>
      </c>
      <c r="C164" s="14"/>
    </row>
    <row r="165" ht="33.75" customHeight="1">
      <c r="A165" s="14" t="s">
        <v>707</v>
      </c>
      <c r="B165" s="14" t="str">
        <f>IMAGE("https://lmztiles.s3.eu-west-1.amazonaws.com/Modern_Interiors_v41.3.4/1_Interiors/16x16/Theme_Sorter_Singles/4_Bedroom_Singles/Bedroom_Singles_167.png")</f>
        <v/>
      </c>
      <c r="C165" s="14"/>
    </row>
    <row r="166" ht="33.75" customHeight="1">
      <c r="A166" s="14" t="s">
        <v>708</v>
      </c>
      <c r="B166" s="14" t="str">
        <f>IMAGE("https://lmztiles.s3.eu-west-1.amazonaws.com/Modern_Interiors_v41.3.4/1_Interiors/16x16/Theme_Sorter_Singles/4_Bedroom_Singles/Bedroom_Singles_168.png")</f>
        <v/>
      </c>
      <c r="C166" s="14"/>
    </row>
    <row r="167" ht="33.75" customHeight="1">
      <c r="A167" s="14" t="s">
        <v>709</v>
      </c>
      <c r="B167" s="14" t="str">
        <f>IMAGE("https://lmztiles.s3.eu-west-1.amazonaws.com/Modern_Interiors_v41.3.4/1_Interiors/16x16/Theme_Sorter_Singles/4_Bedroom_Singles/Bedroom_Singles_169.png")</f>
        <v/>
      </c>
      <c r="C167" s="14"/>
    </row>
    <row r="168" ht="33.75" customHeight="1">
      <c r="A168" s="14" t="s">
        <v>710</v>
      </c>
      <c r="B168" s="14" t="str">
        <f>IMAGE("https://lmztiles.s3.eu-west-1.amazonaws.com/Modern_Interiors_v41.3.4/1_Interiors/16x16/Theme_Sorter_Singles/4_Bedroom_Singles/Bedroom_Singles_170.png")</f>
        <v/>
      </c>
      <c r="C168" s="14"/>
    </row>
    <row r="169" ht="33.75" customHeight="1">
      <c r="A169" s="14" t="s">
        <v>711</v>
      </c>
      <c r="B169" s="14" t="str">
        <f>IMAGE("https://lmztiles.s3.eu-west-1.amazonaws.com/Modern_Interiors_v41.3.4/1_Interiors/16x16/Theme_Sorter_Singles/4_Bedroom_Singles/Bedroom_Singles_171.png")</f>
        <v/>
      </c>
      <c r="C169" s="14"/>
    </row>
    <row r="170" ht="33.75" customHeight="1">
      <c r="A170" s="14" t="s">
        <v>712</v>
      </c>
      <c r="B170" s="14" t="str">
        <f>IMAGE("https://lmztiles.s3.eu-west-1.amazonaws.com/Modern_Interiors_v41.3.4/1_Interiors/16x16/Theme_Sorter_Singles/4_Bedroom_Singles/Bedroom_Singles_172.png")</f>
        <v/>
      </c>
      <c r="C170" s="14"/>
    </row>
    <row r="171" ht="33.75" customHeight="1">
      <c r="A171" s="14" t="s">
        <v>713</v>
      </c>
      <c r="B171" s="14" t="str">
        <f>IMAGE("https://lmztiles.s3.eu-west-1.amazonaws.com/Modern_Interiors_v41.3.4/1_Interiors/16x16/Theme_Sorter_Singles/4_Bedroom_Singles/Bedroom_Singles_173.png")</f>
        <v/>
      </c>
      <c r="C171" s="14"/>
    </row>
    <row r="172" ht="33.75" customHeight="1">
      <c r="A172" s="14" t="s">
        <v>714</v>
      </c>
      <c r="B172" s="14" t="str">
        <f>IMAGE("https://lmztiles.s3.eu-west-1.amazonaws.com/Modern_Interiors_v41.3.4/1_Interiors/16x16/Theme_Sorter_Singles/4_Bedroom_Singles/Bedroom_Singles_174.png")</f>
        <v/>
      </c>
      <c r="C172" s="14"/>
    </row>
    <row r="173" ht="33.75" customHeight="1">
      <c r="A173" s="14" t="s">
        <v>715</v>
      </c>
      <c r="B173" s="14" t="str">
        <f>IMAGE("https://lmztiles.s3.eu-west-1.amazonaws.com/Modern_Interiors_v41.3.4/1_Interiors/16x16/Theme_Sorter_Singles/4_Bedroom_Singles/Bedroom_Singles_175.png")</f>
        <v/>
      </c>
      <c r="C173" s="14"/>
    </row>
    <row r="174" ht="33.75" customHeight="1">
      <c r="A174" s="14" t="s">
        <v>716</v>
      </c>
      <c r="B174" s="14" t="str">
        <f>IMAGE("https://lmztiles.s3.eu-west-1.amazonaws.com/Modern_Interiors_v41.3.4/1_Interiors/16x16/Theme_Sorter_Singles/4_Bedroom_Singles/Bedroom_Singles_176.png")</f>
        <v/>
      </c>
      <c r="C174" s="14"/>
    </row>
    <row r="175" ht="33.75" customHeight="1">
      <c r="A175" s="14" t="s">
        <v>717</v>
      </c>
      <c r="B175" s="14" t="str">
        <f>IMAGE("https://lmztiles.s3.eu-west-1.amazonaws.com/Modern_Interiors_v41.3.4/1_Interiors/16x16/Theme_Sorter_Singles/4_Bedroom_Singles/Bedroom_Singles_177.png")</f>
        <v/>
      </c>
      <c r="C175" s="14"/>
    </row>
    <row r="176" ht="33.75" customHeight="1">
      <c r="A176" s="14" t="s">
        <v>718</v>
      </c>
      <c r="B176" s="14" t="str">
        <f>IMAGE("https://lmztiles.s3.eu-west-1.amazonaws.com/Modern_Interiors_v41.3.4/1_Interiors/16x16/Theme_Sorter_Singles/4_Bedroom_Singles/Bedroom_Singles_178.png")</f>
        <v/>
      </c>
      <c r="C176" s="14"/>
    </row>
    <row r="177" ht="33.75" customHeight="1">
      <c r="A177" s="14" t="s">
        <v>719</v>
      </c>
      <c r="B177" s="14" t="str">
        <f>IMAGE("https://lmztiles.s3.eu-west-1.amazonaws.com/Modern_Interiors_v41.3.4/1_Interiors/16x16/Theme_Sorter_Singles/4_Bedroom_Singles/Bedroom_Singles_179.png")</f>
        <v/>
      </c>
      <c r="C177" s="14"/>
    </row>
    <row r="178" ht="33.75" customHeight="1">
      <c r="A178" s="14" t="s">
        <v>720</v>
      </c>
      <c r="B178" s="14" t="str">
        <f>IMAGE("https://lmztiles.s3.eu-west-1.amazonaws.com/Modern_Interiors_v41.3.4/1_Interiors/16x16/Theme_Sorter_Singles/4_Bedroom_Singles/Bedroom_Singles_180.png")</f>
        <v/>
      </c>
      <c r="C178" s="14"/>
    </row>
    <row r="179" ht="33.75" customHeight="1">
      <c r="A179" s="14" t="s">
        <v>721</v>
      </c>
      <c r="B179" s="14" t="str">
        <f>IMAGE("https://lmztiles.s3.eu-west-1.amazonaws.com/Modern_Interiors_v41.3.4/1_Interiors/16x16/Theme_Sorter_Singles/4_Bedroom_Singles/Bedroom_Singles_181.png")</f>
        <v/>
      </c>
      <c r="C179" s="14"/>
    </row>
    <row r="180" ht="33.75" customHeight="1">
      <c r="A180" s="14" t="s">
        <v>722</v>
      </c>
      <c r="B180" s="14" t="str">
        <f>IMAGE("https://lmztiles.s3.eu-west-1.amazonaws.com/Modern_Interiors_v41.3.4/1_Interiors/16x16/Theme_Sorter_Singles/4_Bedroom_Singles/Bedroom_Singles_182.png")</f>
        <v/>
      </c>
      <c r="C180" s="14"/>
    </row>
    <row r="181" ht="33.75" customHeight="1">
      <c r="A181" s="14" t="s">
        <v>723</v>
      </c>
      <c r="B181" s="14" t="str">
        <f>IMAGE("https://lmztiles.s3.eu-west-1.amazonaws.com/Modern_Interiors_v41.3.4/1_Interiors/16x16/Theme_Sorter_Singles/4_Bedroom_Singles/Bedroom_Singles_183.png")</f>
        <v/>
      </c>
      <c r="C181" s="14"/>
    </row>
    <row r="182" ht="33.75" customHeight="1">
      <c r="A182" s="14" t="s">
        <v>724</v>
      </c>
      <c r="B182" s="14" t="str">
        <f>IMAGE("https://lmztiles.s3.eu-west-1.amazonaws.com/Modern_Interiors_v41.3.4/1_Interiors/16x16/Theme_Sorter_Singles/4_Bedroom_Singles/Bedroom_Singles_184.png")</f>
        <v/>
      </c>
      <c r="C182" s="14"/>
    </row>
    <row r="183" ht="33.75" customHeight="1">
      <c r="A183" s="14" t="s">
        <v>725</v>
      </c>
      <c r="B183" s="14" t="str">
        <f>IMAGE("https://lmztiles.s3.eu-west-1.amazonaws.com/Modern_Interiors_v41.3.4/1_Interiors/16x16/Theme_Sorter_Singles/4_Bedroom_Singles/Bedroom_Singles_185.png")</f>
        <v/>
      </c>
      <c r="C183" s="14"/>
    </row>
    <row r="184" ht="33.75" customHeight="1">
      <c r="A184" s="14" t="s">
        <v>726</v>
      </c>
      <c r="B184" s="14" t="str">
        <f>IMAGE("https://lmztiles.s3.eu-west-1.amazonaws.com/Modern_Interiors_v41.3.4/1_Interiors/16x16/Theme_Sorter_Singles/4_Bedroom_Singles/Bedroom_Singles_186.png")</f>
        <v/>
      </c>
      <c r="C184" s="14"/>
    </row>
    <row r="185" ht="33.75" customHeight="1">
      <c r="A185" s="14" t="s">
        <v>727</v>
      </c>
      <c r="B185" s="14" t="str">
        <f>IMAGE("https://lmztiles.s3.eu-west-1.amazonaws.com/Modern_Interiors_v41.3.4/1_Interiors/16x16/Theme_Sorter_Singles/4_Bedroom_Singles/Bedroom_Singles_187.png")</f>
        <v/>
      </c>
      <c r="C185" s="14"/>
    </row>
    <row r="186" ht="33.75" customHeight="1">
      <c r="A186" s="14" t="s">
        <v>728</v>
      </c>
      <c r="B186" s="14" t="str">
        <f>IMAGE("https://lmztiles.s3.eu-west-1.amazonaws.com/Modern_Interiors_v41.3.4/1_Interiors/16x16/Theme_Sorter_Singles/4_Bedroom_Singles/Bedroom_Singles_188.png")</f>
        <v/>
      </c>
      <c r="C186" s="14"/>
    </row>
    <row r="187" ht="33.75" customHeight="1">
      <c r="A187" s="14" t="s">
        <v>729</v>
      </c>
      <c r="B187" s="14" t="str">
        <f>IMAGE("https://lmztiles.s3.eu-west-1.amazonaws.com/Modern_Interiors_v41.3.4/1_Interiors/16x16/Theme_Sorter_Singles/4_Bedroom_Singles/Bedroom_Singles_189.png")</f>
        <v/>
      </c>
      <c r="C187" s="14"/>
    </row>
    <row r="188" ht="33.75" customHeight="1">
      <c r="A188" s="14" t="s">
        <v>730</v>
      </c>
      <c r="B188" s="14" t="str">
        <f>IMAGE("https://lmztiles.s3.eu-west-1.amazonaws.com/Modern_Interiors_v41.3.4/1_Interiors/16x16/Theme_Sorter_Singles/4_Bedroom_Singles/Bedroom_Singles_190.png")</f>
        <v/>
      </c>
      <c r="C188" s="14"/>
    </row>
    <row r="189" ht="33.75" customHeight="1">
      <c r="A189" s="14" t="s">
        <v>731</v>
      </c>
      <c r="B189" s="14" t="str">
        <f>IMAGE("https://lmztiles.s3.eu-west-1.amazonaws.com/Modern_Interiors_v41.3.4/1_Interiors/16x16/Theme_Sorter_Singles/4_Bedroom_Singles/Bedroom_Singles_191.png")</f>
        <v/>
      </c>
      <c r="C189" s="14"/>
    </row>
    <row r="190" ht="33.75" customHeight="1">
      <c r="A190" s="14" t="s">
        <v>732</v>
      </c>
      <c r="B190" s="14" t="str">
        <f>IMAGE("https://lmztiles.s3.eu-west-1.amazonaws.com/Modern_Interiors_v41.3.4/1_Interiors/16x16/Theme_Sorter_Singles/4_Bedroom_Singles/Bedroom_Singles_192.png")</f>
        <v/>
      </c>
      <c r="C190" s="14"/>
    </row>
    <row r="191" ht="33.75" customHeight="1">
      <c r="A191" s="14" t="s">
        <v>733</v>
      </c>
      <c r="B191" s="14" t="str">
        <f>IMAGE("https://lmztiles.s3.eu-west-1.amazonaws.com/Modern_Interiors_v41.3.4/1_Interiors/16x16/Theme_Sorter_Singles/4_Bedroom_Singles/Bedroom_Singles_193.png")</f>
        <v/>
      </c>
      <c r="C191" s="14"/>
    </row>
    <row r="192" ht="33.75" customHeight="1">
      <c r="A192" s="14" t="s">
        <v>734</v>
      </c>
      <c r="B192" s="14" t="str">
        <f>IMAGE("https://lmztiles.s3.eu-west-1.amazonaws.com/Modern_Interiors_v41.3.4/1_Interiors/16x16/Theme_Sorter_Singles/4_Bedroom_Singles/Bedroom_Singles_194.png")</f>
        <v/>
      </c>
      <c r="C192" s="14"/>
    </row>
    <row r="193" ht="33.75" customHeight="1">
      <c r="A193" s="14" t="s">
        <v>735</v>
      </c>
      <c r="B193" s="14" t="str">
        <f>IMAGE("https://lmztiles.s3.eu-west-1.amazonaws.com/Modern_Interiors_v41.3.4/1_Interiors/16x16/Theme_Sorter_Singles/4_Bedroom_Singles/Bedroom_Singles_195.png")</f>
        <v/>
      </c>
      <c r="C193" s="14"/>
    </row>
    <row r="194" ht="33.75" customHeight="1">
      <c r="A194" s="14" t="s">
        <v>736</v>
      </c>
      <c r="B194" s="14" t="str">
        <f>IMAGE("https://lmztiles.s3.eu-west-1.amazonaws.com/Modern_Interiors_v41.3.4/1_Interiors/16x16/Theme_Sorter_Singles/4_Bedroom_Singles/Bedroom_Singles_196.png")</f>
        <v/>
      </c>
      <c r="C194" s="14"/>
    </row>
    <row r="195" ht="33.75" customHeight="1">
      <c r="A195" s="14" t="s">
        <v>737</v>
      </c>
      <c r="B195" s="14" t="str">
        <f>IMAGE("https://lmztiles.s3.eu-west-1.amazonaws.com/Modern_Interiors_v41.3.4/1_Interiors/16x16/Theme_Sorter_Singles/4_Bedroom_Singles/Bedroom_Singles_197.png")</f>
        <v/>
      </c>
      <c r="C195" s="14"/>
    </row>
    <row r="196" ht="33.75" customHeight="1">
      <c r="A196" s="14" t="s">
        <v>738</v>
      </c>
      <c r="B196" s="14" t="str">
        <f>IMAGE("https://lmztiles.s3.eu-west-1.amazonaws.com/Modern_Interiors_v41.3.4/1_Interiors/16x16/Theme_Sorter_Singles/4_Bedroom_Singles/Bedroom_Singles_198.png")</f>
        <v/>
      </c>
      <c r="C196" s="14"/>
    </row>
    <row r="197" ht="33.75" customHeight="1">
      <c r="A197" s="14" t="s">
        <v>739</v>
      </c>
      <c r="B197" s="14" t="str">
        <f>IMAGE("https://lmztiles.s3.eu-west-1.amazonaws.com/Modern_Interiors_v41.3.4/1_Interiors/16x16/Theme_Sorter_Singles/4_Bedroom_Singles/Bedroom_Singles_199.png")</f>
        <v/>
      </c>
      <c r="C197" s="14"/>
    </row>
    <row r="198" ht="33.75" customHeight="1">
      <c r="A198" s="14" t="s">
        <v>740</v>
      </c>
      <c r="B198" s="14" t="str">
        <f>IMAGE("https://lmztiles.s3.eu-west-1.amazonaws.com/Modern_Interiors_v41.3.4/1_Interiors/16x16/Theme_Sorter_Singles/4_Bedroom_Singles/Bedroom_Singles_200.png")</f>
        <v/>
      </c>
      <c r="C198" s="14"/>
    </row>
    <row r="199" ht="33.75" customHeight="1">
      <c r="A199" s="14" t="s">
        <v>741</v>
      </c>
      <c r="B199" s="14" t="str">
        <f>IMAGE("https://lmztiles.s3.eu-west-1.amazonaws.com/Modern_Interiors_v41.3.4/1_Interiors/16x16/Theme_Sorter_Singles/4_Bedroom_Singles/Bedroom_Singles_201.png")</f>
        <v/>
      </c>
      <c r="C199" s="14"/>
    </row>
    <row r="200" ht="33.75" customHeight="1">
      <c r="A200" s="14" t="s">
        <v>742</v>
      </c>
      <c r="B200" s="14" t="str">
        <f>IMAGE("https://lmztiles.s3.eu-west-1.amazonaws.com/Modern_Interiors_v41.3.4/1_Interiors/16x16/Theme_Sorter_Singles/4_Bedroom_Singles/Bedroom_Singles_202.png")</f>
        <v/>
      </c>
      <c r="C200" s="14"/>
    </row>
    <row r="201" ht="33.75" customHeight="1">
      <c r="A201" s="14" t="s">
        <v>743</v>
      </c>
      <c r="B201" s="14" t="str">
        <f>IMAGE("https://lmztiles.s3.eu-west-1.amazonaws.com/Modern_Interiors_v41.3.4/1_Interiors/16x16/Theme_Sorter_Singles/4_Bedroom_Singles/Bedroom_Singles_203.png")</f>
        <v/>
      </c>
      <c r="C201" s="14"/>
    </row>
    <row r="202" ht="33.75" customHeight="1">
      <c r="A202" s="14" t="s">
        <v>744</v>
      </c>
      <c r="B202" s="14" t="str">
        <f>IMAGE("https://lmztiles.s3.eu-west-1.amazonaws.com/Modern_Interiors_v41.3.4/1_Interiors/16x16/Theme_Sorter_Singles/4_Bedroom_Singles/Bedroom_Singles_204.png")</f>
        <v/>
      </c>
      <c r="C202" s="14"/>
    </row>
    <row r="203" ht="33.75" customHeight="1">
      <c r="A203" s="14" t="s">
        <v>745</v>
      </c>
      <c r="B203" s="14" t="str">
        <f>IMAGE("https://lmztiles.s3.eu-west-1.amazonaws.com/Modern_Interiors_v41.3.4/1_Interiors/16x16/Theme_Sorter_Singles/4_Bedroom_Singles/Bedroom_Singles_205.png")</f>
        <v/>
      </c>
      <c r="C203" s="14"/>
    </row>
    <row r="204" ht="33.75" customHeight="1">
      <c r="A204" s="14" t="s">
        <v>746</v>
      </c>
      <c r="B204" s="14" t="str">
        <f>IMAGE("https://lmztiles.s3.eu-west-1.amazonaws.com/Modern_Interiors_v41.3.4/1_Interiors/16x16/Theme_Sorter_Singles/4_Bedroom_Singles/Bedroom_Singles_206.png")</f>
        <v/>
      </c>
      <c r="C204" s="14"/>
    </row>
    <row r="205" ht="33.75" customHeight="1">
      <c r="A205" s="14" t="s">
        <v>747</v>
      </c>
      <c r="B205" s="14" t="str">
        <f>IMAGE("https://lmztiles.s3.eu-west-1.amazonaws.com/Modern_Interiors_v41.3.4/1_Interiors/16x16/Theme_Sorter_Singles/4_Bedroom_Singles/Bedroom_Singles_207.png")</f>
        <v/>
      </c>
      <c r="C205" s="14"/>
    </row>
    <row r="206" ht="33.75" customHeight="1">
      <c r="A206" s="14" t="s">
        <v>748</v>
      </c>
      <c r="B206" s="14" t="str">
        <f>IMAGE("https://lmztiles.s3.eu-west-1.amazonaws.com/Modern_Interiors_v41.3.4/1_Interiors/16x16/Theme_Sorter_Singles/4_Bedroom_Singles/Bedroom_Singles_208.png")</f>
        <v/>
      </c>
      <c r="C206" s="14"/>
    </row>
    <row r="207" ht="33.75" customHeight="1">
      <c r="A207" s="14" t="s">
        <v>749</v>
      </c>
      <c r="B207" s="14" t="str">
        <f>IMAGE("https://lmztiles.s3.eu-west-1.amazonaws.com/Modern_Interiors_v41.3.4/1_Interiors/16x16/Theme_Sorter_Singles/4_Bedroom_Singles/Bedroom_Singles_209.png")</f>
        <v/>
      </c>
      <c r="C207" s="14"/>
    </row>
    <row r="208" ht="33.75" customHeight="1">
      <c r="A208" s="14" t="s">
        <v>750</v>
      </c>
      <c r="B208" s="14" t="str">
        <f>IMAGE("https://lmztiles.s3.eu-west-1.amazonaws.com/Modern_Interiors_v41.3.4/1_Interiors/16x16/Theme_Sorter_Singles/4_Bedroom_Singles/Bedroom_Singles_210.png")</f>
        <v/>
      </c>
      <c r="C208" s="14"/>
    </row>
    <row r="209" ht="33.75" customHeight="1">
      <c r="A209" s="14" t="s">
        <v>751</v>
      </c>
      <c r="B209" s="14" t="str">
        <f>IMAGE("https://lmztiles.s3.eu-west-1.amazonaws.com/Modern_Interiors_v41.3.4/1_Interiors/16x16/Theme_Sorter_Singles/4_Bedroom_Singles/Bedroom_Singles_211.png")</f>
        <v/>
      </c>
      <c r="C209" s="14"/>
    </row>
    <row r="210" ht="33.75" customHeight="1">
      <c r="A210" s="14" t="s">
        <v>752</v>
      </c>
      <c r="B210" s="14" t="str">
        <f>IMAGE("https://lmztiles.s3.eu-west-1.amazonaws.com/Modern_Interiors_v41.3.4/1_Interiors/16x16/Theme_Sorter_Singles/4_Bedroom_Singles/Bedroom_Singles_212.png")</f>
        <v/>
      </c>
      <c r="C210" s="14"/>
    </row>
    <row r="211" ht="33.75" customHeight="1">
      <c r="A211" s="14" t="s">
        <v>753</v>
      </c>
      <c r="B211" s="14" t="str">
        <f>IMAGE("https://lmztiles.s3.eu-west-1.amazonaws.com/Modern_Interiors_v41.3.4/1_Interiors/16x16/Theme_Sorter_Singles/4_Bedroom_Singles/Bedroom_Singles_213.png")</f>
        <v/>
      </c>
      <c r="C211" s="14"/>
    </row>
    <row r="212" ht="33.75" customHeight="1">
      <c r="A212" s="14" t="s">
        <v>754</v>
      </c>
      <c r="B212" s="14" t="str">
        <f>IMAGE("https://lmztiles.s3.eu-west-1.amazonaws.com/Modern_Interiors_v41.3.4/1_Interiors/16x16/Theme_Sorter_Singles/4_Bedroom_Singles/Bedroom_Singles_214.png")</f>
        <v/>
      </c>
      <c r="C212" s="14"/>
    </row>
    <row r="213" ht="33.75" customHeight="1">
      <c r="A213" s="14" t="s">
        <v>755</v>
      </c>
      <c r="B213" s="14" t="str">
        <f>IMAGE("https://lmztiles.s3.eu-west-1.amazonaws.com/Modern_Interiors_v41.3.4/1_Interiors/16x16/Theme_Sorter_Singles/4_Bedroom_Singles/Bedroom_Singles_215.png")</f>
        <v/>
      </c>
      <c r="C213" s="14"/>
    </row>
    <row r="214" ht="33.75" customHeight="1">
      <c r="A214" s="14" t="s">
        <v>756</v>
      </c>
      <c r="B214" s="14" t="str">
        <f>IMAGE("https://lmztiles.s3.eu-west-1.amazonaws.com/Modern_Interiors_v41.3.4/1_Interiors/16x16/Theme_Sorter_Singles/4_Bedroom_Singles/Bedroom_Singles_216.png")</f>
        <v/>
      </c>
      <c r="C214" s="14"/>
    </row>
    <row r="215" ht="33.75" customHeight="1">
      <c r="A215" s="14" t="s">
        <v>757</v>
      </c>
      <c r="B215" s="14" t="str">
        <f>IMAGE("https://lmztiles.s3.eu-west-1.amazonaws.com/Modern_Interiors_v41.3.4/1_Interiors/16x16/Theme_Sorter_Singles/4_Bedroom_Singles/Bedroom_Singles_217.png")</f>
        <v/>
      </c>
      <c r="C215" s="14"/>
    </row>
    <row r="216" ht="33.75" customHeight="1">
      <c r="A216" s="14" t="s">
        <v>758</v>
      </c>
      <c r="B216" s="14" t="str">
        <f>IMAGE("https://lmztiles.s3.eu-west-1.amazonaws.com/Modern_Interiors_v41.3.4/1_Interiors/16x16/Theme_Sorter_Singles/4_Bedroom_Singles/Bedroom_Singles_218.png")</f>
        <v/>
      </c>
      <c r="C216" s="14"/>
    </row>
    <row r="217" ht="33.75" customHeight="1">
      <c r="A217" s="14" t="s">
        <v>759</v>
      </c>
      <c r="B217" s="14" t="str">
        <f>IMAGE("https://lmztiles.s3.eu-west-1.amazonaws.com/Modern_Interiors_v41.3.4/1_Interiors/16x16/Theme_Sorter_Singles/4_Bedroom_Singles/Bedroom_Singles_219.png")</f>
        <v/>
      </c>
      <c r="C217" s="14"/>
    </row>
    <row r="218" ht="33.75" customHeight="1">
      <c r="A218" s="14" t="s">
        <v>760</v>
      </c>
      <c r="B218" s="14" t="str">
        <f>IMAGE("https://lmztiles.s3.eu-west-1.amazonaws.com/Modern_Interiors_v41.3.4/1_Interiors/16x16/Theme_Sorter_Singles/4_Bedroom_Singles/Bedroom_Singles_220.png")</f>
        <v/>
      </c>
      <c r="C218" s="14"/>
    </row>
    <row r="219" ht="33.75" customHeight="1">
      <c r="A219" s="14" t="s">
        <v>761</v>
      </c>
      <c r="B219" s="14" t="str">
        <f>IMAGE("https://lmztiles.s3.eu-west-1.amazonaws.com/Modern_Interiors_v41.3.4/1_Interiors/16x16/Theme_Sorter_Singles/4_Bedroom_Singles/Bedroom_Singles_221.png")</f>
        <v/>
      </c>
      <c r="C219" s="14"/>
    </row>
    <row r="220" ht="33.75" customHeight="1">
      <c r="A220" s="14" t="s">
        <v>762</v>
      </c>
      <c r="B220" s="14" t="str">
        <f>IMAGE("https://lmztiles.s3.eu-west-1.amazonaws.com/Modern_Interiors_v41.3.4/1_Interiors/16x16/Theme_Sorter_Singles/4_Bedroom_Singles/Bedroom_Singles_222.png")</f>
        <v/>
      </c>
      <c r="C220" s="14"/>
    </row>
    <row r="221" ht="33.75" customHeight="1">
      <c r="A221" s="14" t="s">
        <v>763</v>
      </c>
      <c r="B221" s="14" t="str">
        <f>IMAGE("https://lmztiles.s3.eu-west-1.amazonaws.com/Modern_Interiors_v41.3.4/1_Interiors/16x16/Theme_Sorter_Singles/4_Bedroom_Singles/Bedroom_Singles_223.png")</f>
        <v/>
      </c>
      <c r="C221" s="14"/>
    </row>
    <row r="222" ht="33.75" customHeight="1">
      <c r="A222" s="14" t="s">
        <v>764</v>
      </c>
      <c r="B222" s="14" t="str">
        <f>IMAGE("https://lmztiles.s3.eu-west-1.amazonaws.com/Modern_Interiors_v41.3.4/1_Interiors/16x16/Theme_Sorter_Singles/4_Bedroom_Singles/Bedroom_Singles_224.png")</f>
        <v/>
      </c>
      <c r="C222" s="14"/>
    </row>
    <row r="223" ht="33.75" customHeight="1">
      <c r="A223" s="14" t="s">
        <v>765</v>
      </c>
      <c r="B223" s="14" t="str">
        <f>IMAGE("https://lmztiles.s3.eu-west-1.amazonaws.com/Modern_Interiors_v41.3.4/1_Interiors/16x16/Theme_Sorter_Singles/4_Bedroom_Singles/Bedroom_Singles_225.png")</f>
        <v/>
      </c>
      <c r="C223" s="14"/>
    </row>
    <row r="224" ht="33.75" customHeight="1">
      <c r="A224" s="14" t="s">
        <v>766</v>
      </c>
      <c r="B224" s="14" t="str">
        <f>IMAGE("https://lmztiles.s3.eu-west-1.amazonaws.com/Modern_Interiors_v41.3.4/1_Interiors/16x16/Theme_Sorter_Singles/4_Bedroom_Singles/Bedroom_Singles_226.png")</f>
        <v/>
      </c>
      <c r="C224" s="14"/>
    </row>
    <row r="225" ht="33.75" customHeight="1">
      <c r="A225" s="14" t="s">
        <v>767</v>
      </c>
      <c r="B225" s="14" t="str">
        <f>IMAGE("https://lmztiles.s3.eu-west-1.amazonaws.com/Modern_Interiors_v41.3.4/1_Interiors/16x16/Theme_Sorter_Singles/4_Bedroom_Singles/Bedroom_Singles_227.png")</f>
        <v/>
      </c>
      <c r="C225" s="14"/>
    </row>
    <row r="226" ht="33.75" customHeight="1">
      <c r="A226" s="14" t="s">
        <v>768</v>
      </c>
      <c r="B226" s="14" t="str">
        <f>IMAGE("https://lmztiles.s3.eu-west-1.amazonaws.com/Modern_Interiors_v41.3.4/1_Interiors/16x16/Theme_Sorter_Singles/4_Bedroom_Singles/Bedroom_Singles_228.png")</f>
        <v/>
      </c>
      <c r="C226" s="14"/>
    </row>
    <row r="227" ht="33.75" customHeight="1">
      <c r="A227" s="14" t="s">
        <v>769</v>
      </c>
      <c r="B227" s="14" t="str">
        <f>IMAGE("https://lmztiles.s3.eu-west-1.amazonaws.com/Modern_Interiors_v41.3.4/1_Interiors/16x16/Theme_Sorter_Singles/4_Bedroom_Singles/Bedroom_Singles_229.png")</f>
        <v/>
      </c>
      <c r="C227" s="14"/>
    </row>
    <row r="228" ht="33.75" customHeight="1">
      <c r="A228" s="14" t="s">
        <v>770</v>
      </c>
      <c r="B228" s="14" t="str">
        <f>IMAGE("https://lmztiles.s3.eu-west-1.amazonaws.com/Modern_Interiors_v41.3.4/1_Interiors/16x16/Theme_Sorter_Singles/4_Bedroom_Singles/Bedroom_Singles_230.png")</f>
        <v/>
      </c>
      <c r="C228" s="14"/>
    </row>
    <row r="229" ht="33.75" customHeight="1">
      <c r="A229" s="14" t="s">
        <v>771</v>
      </c>
      <c r="B229" s="14" t="str">
        <f>IMAGE("https://lmztiles.s3.eu-west-1.amazonaws.com/Modern_Interiors_v41.3.4/1_Interiors/16x16/Theme_Sorter_Singles/4_Bedroom_Singles/Bedroom_Singles_231.png")</f>
        <v/>
      </c>
      <c r="C229" s="14"/>
    </row>
    <row r="230" ht="33.75" customHeight="1">
      <c r="A230" s="14" t="s">
        <v>772</v>
      </c>
      <c r="B230" s="14" t="str">
        <f>IMAGE("https://lmztiles.s3.eu-west-1.amazonaws.com/Modern_Interiors_v41.3.4/1_Interiors/16x16/Theme_Sorter_Singles/4_Bedroom_Singles/Bedroom_Singles_232.png")</f>
        <v/>
      </c>
      <c r="C230" s="14"/>
    </row>
    <row r="231" ht="33.75" customHeight="1">
      <c r="A231" s="14" t="s">
        <v>773</v>
      </c>
      <c r="B231" s="14" t="str">
        <f>IMAGE("https://lmztiles.s3.eu-west-1.amazonaws.com/Modern_Interiors_v41.3.4/1_Interiors/16x16/Theme_Sorter_Singles/4_Bedroom_Singles/Bedroom_Singles_233.png")</f>
        <v/>
      </c>
      <c r="C231" s="14"/>
    </row>
    <row r="232" ht="33.75" customHeight="1">
      <c r="A232" s="14" t="s">
        <v>774</v>
      </c>
      <c r="B232" s="14" t="str">
        <f>IMAGE("https://lmztiles.s3.eu-west-1.amazonaws.com/Modern_Interiors_v41.3.4/1_Interiors/16x16/Theme_Sorter_Singles/4_Bedroom_Singles/Bedroom_Singles_234.png")</f>
        <v/>
      </c>
      <c r="C232" s="14"/>
    </row>
    <row r="233" ht="33.75" customHeight="1">
      <c r="A233" s="14" t="s">
        <v>775</v>
      </c>
      <c r="B233" s="14" t="str">
        <f>IMAGE("https://lmztiles.s3.eu-west-1.amazonaws.com/Modern_Interiors_v41.3.4/1_Interiors/16x16/Theme_Sorter_Singles/4_Bedroom_Singles/Bedroom_Singles_235.png")</f>
        <v/>
      </c>
      <c r="C233" s="14"/>
    </row>
    <row r="234" ht="33.75" customHeight="1">
      <c r="A234" s="14" t="s">
        <v>776</v>
      </c>
      <c r="B234" s="14" t="str">
        <f>IMAGE("https://lmztiles.s3.eu-west-1.amazonaws.com/Modern_Interiors_v41.3.4/1_Interiors/16x16/Theme_Sorter_Singles/4_Bedroom_Singles/Bedroom_Singles_236.png")</f>
        <v/>
      </c>
      <c r="C234" s="14"/>
    </row>
    <row r="235" ht="33.75" customHeight="1">
      <c r="A235" s="14" t="s">
        <v>777</v>
      </c>
      <c r="B235" s="14" t="str">
        <f>IMAGE("https://lmztiles.s3.eu-west-1.amazonaws.com/Modern_Interiors_v41.3.4/1_Interiors/16x16/Theme_Sorter_Singles/4_Bedroom_Singles/Bedroom_Singles_237.png")</f>
        <v/>
      </c>
      <c r="C235" s="14"/>
    </row>
    <row r="236" ht="33.75" customHeight="1">
      <c r="A236" s="14" t="s">
        <v>778</v>
      </c>
      <c r="B236" s="14" t="str">
        <f>IMAGE("https://lmztiles.s3.eu-west-1.amazonaws.com/Modern_Interiors_v41.3.4/1_Interiors/16x16/Theme_Sorter_Singles/4_Bedroom_Singles/Bedroom_Singles_238.png")</f>
        <v/>
      </c>
      <c r="C236" s="14"/>
    </row>
    <row r="237" ht="33.75" customHeight="1">
      <c r="A237" s="14" t="s">
        <v>779</v>
      </c>
      <c r="B237" s="14" t="str">
        <f>IMAGE("https://lmztiles.s3.eu-west-1.amazonaws.com/Modern_Interiors_v41.3.4/1_Interiors/16x16/Theme_Sorter_Singles/4_Bedroom_Singles/Bedroom_Singles_239.png")</f>
        <v/>
      </c>
      <c r="C237" s="14"/>
    </row>
    <row r="238" ht="33.75" customHeight="1">
      <c r="A238" s="14" t="s">
        <v>780</v>
      </c>
      <c r="B238" s="14" t="str">
        <f>IMAGE("https://lmztiles.s3.eu-west-1.amazonaws.com/Modern_Interiors_v41.3.4/1_Interiors/16x16/Theme_Sorter_Singles/4_Bedroom_Singles/Bedroom_Singles_240.png")</f>
        <v/>
      </c>
      <c r="C238" s="14"/>
    </row>
    <row r="239" ht="33.75" customHeight="1">
      <c r="A239" s="14" t="s">
        <v>781</v>
      </c>
      <c r="B239" s="14" t="str">
        <f>IMAGE("https://lmztiles.s3.eu-west-1.amazonaws.com/Modern_Interiors_v41.3.4/1_Interiors/16x16/Theme_Sorter_Singles/4_Bedroom_Singles/Bedroom_Singles_241.png")</f>
        <v/>
      </c>
      <c r="C239" s="14"/>
    </row>
    <row r="240" ht="33.75" customHeight="1">
      <c r="A240" s="14" t="s">
        <v>782</v>
      </c>
      <c r="B240" s="14" t="str">
        <f>IMAGE("https://lmztiles.s3.eu-west-1.amazonaws.com/Modern_Interiors_v41.3.4/1_Interiors/16x16/Theme_Sorter_Singles/4_Bedroom_Singles/Bedroom_Singles_242.png")</f>
        <v/>
      </c>
      <c r="C240" s="14"/>
    </row>
    <row r="241" ht="33.75" customHeight="1">
      <c r="A241" s="14" t="s">
        <v>783</v>
      </c>
      <c r="B241" s="14" t="str">
        <f>IMAGE("https://lmztiles.s3.eu-west-1.amazonaws.com/Modern_Interiors_v41.3.4/1_Interiors/16x16/Theme_Sorter_Singles/4_Bedroom_Singles/Bedroom_Singles_243.png")</f>
        <v/>
      </c>
      <c r="C241" s="14"/>
    </row>
    <row r="242" ht="33.75" customHeight="1">
      <c r="A242" s="14" t="s">
        <v>784</v>
      </c>
      <c r="B242" s="14" t="str">
        <f>IMAGE("https://lmztiles.s3.eu-west-1.amazonaws.com/Modern_Interiors_v41.3.4/1_Interiors/16x16/Theme_Sorter_Singles/4_Bedroom_Singles/Bedroom_Singles_244.png")</f>
        <v/>
      </c>
      <c r="C242" s="14"/>
    </row>
    <row r="243" ht="33.75" customHeight="1">
      <c r="A243" s="14" t="s">
        <v>785</v>
      </c>
      <c r="B243" s="14" t="str">
        <f>IMAGE("https://lmztiles.s3.eu-west-1.amazonaws.com/Modern_Interiors_v41.3.4/1_Interiors/16x16/Theme_Sorter_Singles/4_Bedroom_Singles/Bedroom_Singles_245.png")</f>
        <v/>
      </c>
      <c r="C243" s="14"/>
    </row>
    <row r="244" ht="33.75" customHeight="1">
      <c r="A244" s="14" t="s">
        <v>786</v>
      </c>
      <c r="B244" s="14" t="str">
        <f>IMAGE("https://lmztiles.s3.eu-west-1.amazonaws.com/Modern_Interiors_v41.3.4/1_Interiors/16x16/Theme_Sorter_Singles/4_Bedroom_Singles/Bedroom_Singles_246.png")</f>
        <v/>
      </c>
      <c r="C244" s="14"/>
    </row>
    <row r="245" ht="33.75" customHeight="1">
      <c r="A245" s="14" t="s">
        <v>787</v>
      </c>
      <c r="B245" s="14" t="str">
        <f>IMAGE("https://lmztiles.s3.eu-west-1.amazonaws.com/Modern_Interiors_v41.3.4/1_Interiors/16x16/Theme_Sorter_Singles/4_Bedroom_Singles/Bedroom_Singles_247.png")</f>
        <v/>
      </c>
      <c r="C245" s="14"/>
    </row>
    <row r="246" ht="33.75" customHeight="1">
      <c r="A246" s="14" t="s">
        <v>788</v>
      </c>
      <c r="B246" s="14" t="str">
        <f>IMAGE("https://lmztiles.s3.eu-west-1.amazonaws.com/Modern_Interiors_v41.3.4/1_Interiors/16x16/Theme_Sorter_Singles/4_Bedroom_Singles/Bedroom_Singles_248.png")</f>
        <v/>
      </c>
      <c r="C246" s="14"/>
    </row>
    <row r="247" ht="33.75" customHeight="1">
      <c r="A247" s="14" t="s">
        <v>789</v>
      </c>
      <c r="B247" s="14" t="str">
        <f>IMAGE("https://lmztiles.s3.eu-west-1.amazonaws.com/Modern_Interiors_v41.3.4/1_Interiors/16x16/Theme_Sorter_Singles/4_Bedroom_Singles/Bedroom_Singles_249.png")</f>
        <v/>
      </c>
      <c r="C247" s="14"/>
    </row>
    <row r="248" ht="33.75" customHeight="1">
      <c r="A248" s="14" t="s">
        <v>790</v>
      </c>
      <c r="B248" s="14" t="str">
        <f>IMAGE("https://lmztiles.s3.eu-west-1.amazonaws.com/Modern_Interiors_v41.3.4/1_Interiors/16x16/Theme_Sorter_Singles/4_Bedroom_Singles/Bedroom_Singles_250.png")</f>
        <v/>
      </c>
      <c r="C248" s="14"/>
    </row>
    <row r="249" ht="33.75" customHeight="1">
      <c r="A249" s="14" t="s">
        <v>791</v>
      </c>
      <c r="B249" s="14" t="str">
        <f>IMAGE("https://lmztiles.s3.eu-west-1.amazonaws.com/Modern_Interiors_v41.3.4/1_Interiors/16x16/Theme_Sorter_Singles/4_Bedroom_Singles/Bedroom_Singles_251.png")</f>
        <v/>
      </c>
      <c r="C249" s="14"/>
    </row>
    <row r="250" ht="33.75" customHeight="1">
      <c r="A250" s="14" t="s">
        <v>792</v>
      </c>
      <c r="B250" s="14" t="str">
        <f>IMAGE("https://lmztiles.s3.eu-west-1.amazonaws.com/Modern_Interiors_v41.3.4/1_Interiors/16x16/Theme_Sorter_Singles/4_Bedroom_Singles/Bedroom_Singles_252.png")</f>
        <v/>
      </c>
      <c r="C250" s="14"/>
    </row>
    <row r="251" ht="33.75" customHeight="1">
      <c r="A251" s="14" t="s">
        <v>793</v>
      </c>
      <c r="B251" s="14" t="str">
        <f>IMAGE("https://lmztiles.s3.eu-west-1.amazonaws.com/Modern_Interiors_v41.3.4/1_Interiors/16x16/Theme_Sorter_Singles/4_Bedroom_Singles/Bedroom_Singles_253.png")</f>
        <v/>
      </c>
      <c r="C251" s="14"/>
    </row>
    <row r="252" ht="33.75" customHeight="1">
      <c r="A252" s="14" t="s">
        <v>794</v>
      </c>
      <c r="B252" s="14" t="str">
        <f>IMAGE("https://lmztiles.s3.eu-west-1.amazonaws.com/Modern_Interiors_v41.3.4/1_Interiors/16x16/Theme_Sorter_Singles/4_Bedroom_Singles/Bedroom_Singles_254.png")</f>
        <v/>
      </c>
      <c r="C252" s="14"/>
    </row>
    <row r="253" ht="33.75" customHeight="1">
      <c r="A253" s="14" t="s">
        <v>795</v>
      </c>
      <c r="B253" s="14" t="str">
        <f>IMAGE("https://lmztiles.s3.eu-west-1.amazonaws.com/Modern_Interiors_v41.3.4/1_Interiors/16x16/Theme_Sorter_Singles/4_Bedroom_Singles/Bedroom_Singles_255.png")</f>
        <v/>
      </c>
      <c r="C253" s="14"/>
    </row>
    <row r="254" ht="33.75" customHeight="1">
      <c r="A254" s="14" t="s">
        <v>796</v>
      </c>
      <c r="B254" s="14" t="str">
        <f>IMAGE("https://lmztiles.s3.eu-west-1.amazonaws.com/Modern_Interiors_v41.3.4/1_Interiors/16x16/Theme_Sorter_Singles/4_Bedroom_Singles/Bedroom_Singles_256.png")</f>
        <v/>
      </c>
      <c r="C254" s="14"/>
    </row>
    <row r="255" ht="33.75" customHeight="1">
      <c r="A255" s="14" t="s">
        <v>797</v>
      </c>
      <c r="B255" s="14" t="str">
        <f>IMAGE("https://lmztiles.s3.eu-west-1.amazonaws.com/Modern_Interiors_v41.3.4/1_Interiors/16x16/Theme_Sorter_Singles/4_Bedroom_Singles/Bedroom_Singles_257.png")</f>
        <v/>
      </c>
      <c r="C255" s="14"/>
    </row>
    <row r="256" ht="33.75" customHeight="1">
      <c r="A256" s="14" t="s">
        <v>798</v>
      </c>
      <c r="B256" s="14" t="str">
        <f>IMAGE("https://lmztiles.s3.eu-west-1.amazonaws.com/Modern_Interiors_v41.3.4/1_Interiors/16x16/Theme_Sorter_Singles/4_Bedroom_Singles/Bedroom_Singles_258.png")</f>
        <v/>
      </c>
      <c r="C256" s="14"/>
    </row>
    <row r="257" ht="33.75" customHeight="1">
      <c r="A257" s="14" t="s">
        <v>799</v>
      </c>
      <c r="B257" s="14" t="str">
        <f>IMAGE("https://lmztiles.s3.eu-west-1.amazonaws.com/Modern_Interiors_v41.3.4/1_Interiors/16x16/Theme_Sorter_Singles/4_Bedroom_Singles/Bedroom_Singles_259.png")</f>
        <v/>
      </c>
      <c r="C257" s="14"/>
    </row>
    <row r="258" ht="33.75" customHeight="1">
      <c r="A258" s="14" t="s">
        <v>800</v>
      </c>
      <c r="B258" s="14" t="str">
        <f>IMAGE("https://lmztiles.s3.eu-west-1.amazonaws.com/Modern_Interiors_v41.3.4/1_Interiors/16x16/Theme_Sorter_Singles/4_Bedroom_Singles/Bedroom_Singles_260.png")</f>
        <v/>
      </c>
      <c r="C258" s="14"/>
    </row>
    <row r="259" ht="33.75" customHeight="1">
      <c r="A259" s="14" t="s">
        <v>801</v>
      </c>
      <c r="B259" s="14" t="str">
        <f>IMAGE("https://lmztiles.s3.eu-west-1.amazonaws.com/Modern_Interiors_v41.3.4/1_Interiors/16x16/Theme_Sorter_Singles/4_Bedroom_Singles/Bedroom_Singles_261.png")</f>
        <v/>
      </c>
      <c r="C259" s="14"/>
    </row>
    <row r="260" ht="33.75" customHeight="1">
      <c r="A260" s="14" t="s">
        <v>802</v>
      </c>
      <c r="B260" s="14" t="str">
        <f>IMAGE("https://lmztiles.s3.eu-west-1.amazonaws.com/Modern_Interiors_v41.3.4/1_Interiors/16x16/Theme_Sorter_Singles/4_Bedroom_Singles/Bedroom_Singles_262.png")</f>
        <v/>
      </c>
      <c r="C260" s="14"/>
    </row>
    <row r="261" ht="33.75" customHeight="1">
      <c r="A261" s="14" t="s">
        <v>803</v>
      </c>
      <c r="B261" s="14" t="str">
        <f>IMAGE("https://lmztiles.s3.eu-west-1.amazonaws.com/Modern_Interiors_v41.3.4/1_Interiors/16x16/Theme_Sorter_Singles/4_Bedroom_Singles/Bedroom_Singles_263.png")</f>
        <v/>
      </c>
      <c r="C261" s="14"/>
    </row>
    <row r="262" ht="33.75" customHeight="1">
      <c r="A262" s="14" t="s">
        <v>804</v>
      </c>
      <c r="B262" s="14" t="str">
        <f>IMAGE("https://lmztiles.s3.eu-west-1.amazonaws.com/Modern_Interiors_v41.3.4/1_Interiors/16x16/Theme_Sorter_Singles/4_Bedroom_Singles/Bedroom_Singles_264.png")</f>
        <v/>
      </c>
      <c r="C262" s="14"/>
    </row>
    <row r="263" ht="33.75" customHeight="1">
      <c r="A263" s="14" t="s">
        <v>805</v>
      </c>
      <c r="B263" s="14" t="str">
        <f>IMAGE("https://lmztiles.s3.eu-west-1.amazonaws.com/Modern_Interiors_v41.3.4/1_Interiors/16x16/Theme_Sorter_Singles/4_Bedroom_Singles/Bedroom_Singles_265.png")</f>
        <v/>
      </c>
      <c r="C263" s="14"/>
    </row>
    <row r="264" ht="33.75" customHeight="1">
      <c r="A264" s="14" t="s">
        <v>806</v>
      </c>
      <c r="B264" s="14" t="str">
        <f>IMAGE("https://lmztiles.s3.eu-west-1.amazonaws.com/Modern_Interiors_v41.3.4/1_Interiors/16x16/Theme_Sorter_Singles/4_Bedroom_Singles/Bedroom_Singles_266.png")</f>
        <v/>
      </c>
      <c r="C264" s="14"/>
    </row>
    <row r="265" ht="33.75" customHeight="1">
      <c r="A265" s="14" t="s">
        <v>807</v>
      </c>
      <c r="B265" s="14" t="str">
        <f>IMAGE("https://lmztiles.s3.eu-west-1.amazonaws.com/Modern_Interiors_v41.3.4/1_Interiors/16x16/Theme_Sorter_Singles/4_Bedroom_Singles/Bedroom_Singles_267.png")</f>
        <v/>
      </c>
      <c r="C265" s="14"/>
    </row>
    <row r="266" ht="33.75" customHeight="1">
      <c r="A266" s="14" t="s">
        <v>808</v>
      </c>
      <c r="B266" s="14" t="str">
        <f>IMAGE("https://lmztiles.s3.eu-west-1.amazonaws.com/Modern_Interiors_v41.3.4/1_Interiors/16x16/Theme_Sorter_Singles/4_Bedroom_Singles/Bedroom_Singles_268.png")</f>
        <v/>
      </c>
      <c r="C266" s="14"/>
    </row>
    <row r="267" ht="33.75" customHeight="1">
      <c r="A267" s="14" t="s">
        <v>809</v>
      </c>
      <c r="B267" s="14" t="str">
        <f>IMAGE("https://lmztiles.s3.eu-west-1.amazonaws.com/Modern_Interiors_v41.3.4/1_Interiors/16x16/Theme_Sorter_Singles/4_Bedroom_Singles/Bedroom_Singles_269.png")</f>
        <v/>
      </c>
      <c r="C267" s="14"/>
    </row>
    <row r="268" ht="33.75" customHeight="1">
      <c r="A268" s="14" t="s">
        <v>810</v>
      </c>
      <c r="B268" s="14" t="str">
        <f>IMAGE("https://lmztiles.s3.eu-west-1.amazonaws.com/Modern_Interiors_v41.3.4/1_Interiors/16x16/Theme_Sorter_Singles/4_Bedroom_Singles/Bedroom_Singles_270.png")</f>
        <v/>
      </c>
      <c r="C268" s="14"/>
    </row>
    <row r="269" ht="33.75" customHeight="1">
      <c r="A269" s="14" t="s">
        <v>811</v>
      </c>
      <c r="B269" s="14" t="str">
        <f>IMAGE("https://lmztiles.s3.eu-west-1.amazonaws.com/Modern_Interiors_v41.3.4/1_Interiors/16x16/Theme_Sorter_Singles/4_Bedroom_Singles/Bedroom_Singles_271.png")</f>
        <v/>
      </c>
      <c r="C269" s="14"/>
    </row>
    <row r="270" ht="33.75" customHeight="1">
      <c r="A270" s="14" t="s">
        <v>812</v>
      </c>
      <c r="B270" s="14" t="str">
        <f>IMAGE("https://lmztiles.s3.eu-west-1.amazonaws.com/Modern_Interiors_v41.3.4/1_Interiors/16x16/Theme_Sorter_Singles/4_Bedroom_Singles/Bedroom_Singles_272.png")</f>
        <v/>
      </c>
      <c r="C270" s="14"/>
    </row>
    <row r="271" ht="33.75" customHeight="1">
      <c r="A271" s="14" t="s">
        <v>813</v>
      </c>
      <c r="B271" s="14" t="str">
        <f>IMAGE("https://lmztiles.s3.eu-west-1.amazonaws.com/Modern_Interiors_v41.3.4/1_Interiors/16x16/Theme_Sorter_Singles/4_Bedroom_Singles/Bedroom_Singles_273.png")</f>
        <v/>
      </c>
      <c r="C271" s="14"/>
    </row>
    <row r="272" ht="33.75" customHeight="1">
      <c r="A272" s="14" t="s">
        <v>814</v>
      </c>
      <c r="B272" s="14" t="str">
        <f>IMAGE("https://lmztiles.s3.eu-west-1.amazonaws.com/Modern_Interiors_v41.3.4/1_Interiors/16x16/Theme_Sorter_Singles/4_Bedroom_Singles/Bedroom_Singles_274.png")</f>
        <v/>
      </c>
      <c r="C272" s="14"/>
    </row>
    <row r="273" ht="33.75" customHeight="1">
      <c r="A273" s="14" t="s">
        <v>815</v>
      </c>
      <c r="B273" s="14" t="str">
        <f>IMAGE("https://lmztiles.s3.eu-west-1.amazonaws.com/Modern_Interiors_v41.3.4/1_Interiors/16x16/Theme_Sorter_Singles/4_Bedroom_Singles/Bedroom_Singles_275.png")</f>
        <v/>
      </c>
      <c r="C273" s="14"/>
    </row>
    <row r="274" ht="33.75" customHeight="1">
      <c r="A274" s="14" t="s">
        <v>816</v>
      </c>
      <c r="B274" s="14" t="str">
        <f>IMAGE("https://lmztiles.s3.eu-west-1.amazonaws.com/Modern_Interiors_v41.3.4/1_Interiors/16x16/Theme_Sorter_Singles/4_Bedroom_Singles/Bedroom_Singles_276.png")</f>
        <v/>
      </c>
      <c r="C274" s="14"/>
    </row>
    <row r="275" ht="33.75" customHeight="1">
      <c r="A275" s="14" t="s">
        <v>817</v>
      </c>
      <c r="B275" s="14" t="str">
        <f>IMAGE("https://lmztiles.s3.eu-west-1.amazonaws.com/Modern_Interiors_v41.3.4/1_Interiors/16x16/Theme_Sorter_Singles/4_Bedroom_Singles/Bedroom_Singles_277.png")</f>
        <v/>
      </c>
      <c r="C275" s="14"/>
    </row>
    <row r="276" ht="33.75" customHeight="1">
      <c r="A276" s="14" t="s">
        <v>818</v>
      </c>
      <c r="B276" s="14" t="str">
        <f>IMAGE("https://lmztiles.s3.eu-west-1.amazonaws.com/Modern_Interiors_v41.3.4/1_Interiors/16x16/Theme_Sorter_Singles/4_Bedroom_Singles/Bedroom_Singles_278.png")</f>
        <v/>
      </c>
      <c r="C276" s="14"/>
    </row>
    <row r="277" ht="33.75" customHeight="1">
      <c r="A277" s="14" t="s">
        <v>819</v>
      </c>
      <c r="B277" s="14" t="str">
        <f>IMAGE("https://lmztiles.s3.eu-west-1.amazonaws.com/Modern_Interiors_v41.3.4/1_Interiors/16x16/Theme_Sorter_Singles/4_Bedroom_Singles/Bedroom_Singles_279.png")</f>
        <v/>
      </c>
      <c r="C277" s="14"/>
    </row>
    <row r="278" ht="33.75" customHeight="1">
      <c r="A278" s="14" t="s">
        <v>820</v>
      </c>
      <c r="B278" s="14" t="str">
        <f>IMAGE("https://lmztiles.s3.eu-west-1.amazonaws.com/Modern_Interiors_v41.3.4/1_Interiors/16x16/Theme_Sorter_Singles/4_Bedroom_Singles/Bedroom_Singles_280.png")</f>
        <v/>
      </c>
      <c r="C278" s="14"/>
    </row>
    <row r="279" ht="33.75" customHeight="1">
      <c r="A279" s="14" t="s">
        <v>821</v>
      </c>
      <c r="B279" s="14" t="str">
        <f>IMAGE("https://lmztiles.s3.eu-west-1.amazonaws.com/Modern_Interiors_v41.3.4/1_Interiors/16x16/Theme_Sorter_Singles/4_Bedroom_Singles/Bedroom_Singles_281.png")</f>
        <v/>
      </c>
      <c r="C279" s="14"/>
    </row>
    <row r="280" ht="33.75" customHeight="1">
      <c r="A280" s="14" t="s">
        <v>822</v>
      </c>
      <c r="B280" s="14" t="str">
        <f>IMAGE("https://lmztiles.s3.eu-west-1.amazonaws.com/Modern_Interiors_v41.3.4/1_Interiors/16x16/Theme_Sorter_Singles/4_Bedroom_Singles/Bedroom_Singles_282.png")</f>
        <v/>
      </c>
      <c r="C280" s="14"/>
    </row>
    <row r="281" ht="33.75" customHeight="1">
      <c r="A281" s="14" t="s">
        <v>823</v>
      </c>
      <c r="B281" s="14" t="str">
        <f>IMAGE("https://lmztiles.s3.eu-west-1.amazonaws.com/Modern_Interiors_v41.3.4/1_Interiors/16x16/Theme_Sorter_Singles/4_Bedroom_Singles/Bedroom_Singles_283.png")</f>
        <v/>
      </c>
      <c r="C281" s="14"/>
    </row>
    <row r="282" ht="33.75" customHeight="1">
      <c r="A282" s="14" t="s">
        <v>824</v>
      </c>
      <c r="B282" s="14" t="str">
        <f>IMAGE("https://lmztiles.s3.eu-west-1.amazonaws.com/Modern_Interiors_v41.3.4/1_Interiors/16x16/Theme_Sorter_Singles/4_Bedroom_Singles/Bedroom_Singles_284.png")</f>
        <v/>
      </c>
      <c r="C282" s="14"/>
    </row>
    <row r="283" ht="33.75" customHeight="1">
      <c r="A283" s="14" t="s">
        <v>825</v>
      </c>
      <c r="B283" s="14" t="str">
        <f>IMAGE("https://lmztiles.s3.eu-west-1.amazonaws.com/Modern_Interiors_v41.3.4/1_Interiors/16x16/Theme_Sorter_Singles/4_Bedroom_Singles/Bedroom_Singles_285.png")</f>
        <v/>
      </c>
      <c r="C283" s="14"/>
    </row>
    <row r="284" ht="33.75" customHeight="1">
      <c r="A284" s="14" t="s">
        <v>826</v>
      </c>
      <c r="B284" s="14" t="str">
        <f>IMAGE("https://lmztiles.s3.eu-west-1.amazonaws.com/Modern_Interiors_v41.3.4/1_Interiors/16x16/Theme_Sorter_Singles/4_Bedroom_Singles/Bedroom_Singles_286.png")</f>
        <v/>
      </c>
      <c r="C284" s="14"/>
    </row>
    <row r="285" ht="33.75" customHeight="1">
      <c r="A285" s="14" t="s">
        <v>827</v>
      </c>
      <c r="B285" s="14" t="str">
        <f>IMAGE("https://lmztiles.s3.eu-west-1.amazonaws.com/Modern_Interiors_v41.3.4/1_Interiors/16x16/Theme_Sorter_Singles/4_Bedroom_Singles/Bedroom_Singles_287.png")</f>
        <v/>
      </c>
      <c r="C285" s="14"/>
    </row>
    <row r="286" ht="33.75" customHeight="1">
      <c r="A286" s="14" t="s">
        <v>828</v>
      </c>
      <c r="B286" s="14" t="str">
        <f>IMAGE("https://lmztiles.s3.eu-west-1.amazonaws.com/Modern_Interiors_v41.3.4/1_Interiors/16x16/Theme_Sorter_Singles/4_Bedroom_Singles/Bedroom_Singles_288.png")</f>
        <v/>
      </c>
      <c r="C286" s="14"/>
    </row>
    <row r="287" ht="33.75" customHeight="1">
      <c r="A287" s="14" t="s">
        <v>829</v>
      </c>
      <c r="B287" s="14" t="str">
        <f>IMAGE("https://lmztiles.s3.eu-west-1.amazonaws.com/Modern_Interiors_v41.3.4/1_Interiors/16x16/Theme_Sorter_Singles/4_Bedroom_Singles/Bedroom_Singles_289.png")</f>
        <v/>
      </c>
      <c r="C287" s="14"/>
    </row>
    <row r="288" ht="33.75" customHeight="1">
      <c r="A288" s="14" t="s">
        <v>830</v>
      </c>
      <c r="B288" s="14" t="str">
        <f>IMAGE("https://lmztiles.s3.eu-west-1.amazonaws.com/Modern_Interiors_v41.3.4/1_Interiors/16x16/Theme_Sorter_Singles/4_Bedroom_Singles/Bedroom_Singles_290.png")</f>
        <v/>
      </c>
      <c r="C288" s="14"/>
    </row>
    <row r="289" ht="33.75" customHeight="1">
      <c r="A289" s="14" t="s">
        <v>831</v>
      </c>
      <c r="B289" s="14" t="str">
        <f>IMAGE("https://lmztiles.s3.eu-west-1.amazonaws.com/Modern_Interiors_v41.3.4/1_Interiors/16x16/Theme_Sorter_Singles/4_Bedroom_Singles/Bedroom_Singles_291.png")</f>
        <v/>
      </c>
      <c r="C289" s="14"/>
    </row>
    <row r="290" ht="33.75" customHeight="1">
      <c r="A290" s="14" t="s">
        <v>832</v>
      </c>
      <c r="B290" s="14" t="str">
        <f>IMAGE("https://lmztiles.s3.eu-west-1.amazonaws.com/Modern_Interiors_v41.3.4/1_Interiors/16x16/Theme_Sorter_Singles/4_Bedroom_Singles/Bedroom_Singles_292.png")</f>
        <v/>
      </c>
      <c r="C290" s="14"/>
    </row>
    <row r="291" ht="33.75" customHeight="1">
      <c r="A291" s="14" t="s">
        <v>833</v>
      </c>
      <c r="B291" s="14" t="str">
        <f>IMAGE("https://lmztiles.s3.eu-west-1.amazonaws.com/Modern_Interiors_v41.3.4/1_Interiors/16x16/Theme_Sorter_Singles/4_Bedroom_Singles/Bedroom_Singles_293.png")</f>
        <v/>
      </c>
      <c r="C291" s="14"/>
    </row>
    <row r="292" ht="33.75" customHeight="1">
      <c r="A292" s="14" t="s">
        <v>834</v>
      </c>
      <c r="B292" s="14" t="str">
        <f>IMAGE("https://lmztiles.s3.eu-west-1.amazonaws.com/Modern_Interiors_v41.3.4/1_Interiors/16x16/Theme_Sorter_Singles/4_Bedroom_Singles/Bedroom_Singles_294.png")</f>
        <v/>
      </c>
      <c r="C292" s="14"/>
    </row>
    <row r="293" ht="33.75" customHeight="1">
      <c r="A293" s="14" t="s">
        <v>835</v>
      </c>
      <c r="B293" s="14" t="str">
        <f>IMAGE("https://lmztiles.s3.eu-west-1.amazonaws.com/Modern_Interiors_v41.3.4/1_Interiors/16x16/Theme_Sorter_Singles/4_Bedroom_Singles/Bedroom_Singles_295.png")</f>
        <v/>
      </c>
      <c r="C293" s="14"/>
    </row>
    <row r="294" ht="33.75" customHeight="1">
      <c r="A294" s="14" t="s">
        <v>836</v>
      </c>
      <c r="B294" s="14" t="str">
        <f>IMAGE("https://lmztiles.s3.eu-west-1.amazonaws.com/Modern_Interiors_v41.3.4/1_Interiors/16x16/Theme_Sorter_Singles/4_Bedroom_Singles/Bedroom_Singles_296.png")</f>
        <v/>
      </c>
      <c r="C294" s="14"/>
    </row>
    <row r="295" ht="33.75" customHeight="1">
      <c r="A295" s="14" t="s">
        <v>837</v>
      </c>
      <c r="B295" s="14" t="str">
        <f>IMAGE("https://lmztiles.s3.eu-west-1.amazonaws.com/Modern_Interiors_v41.3.4/1_Interiors/16x16/Theme_Sorter_Singles/4_Bedroom_Singles/Bedroom_Singles_297.png")</f>
        <v/>
      </c>
      <c r="C295" s="14"/>
    </row>
    <row r="296" ht="33.75" customHeight="1">
      <c r="A296" s="14" t="s">
        <v>838</v>
      </c>
      <c r="B296" s="14" t="str">
        <f>IMAGE("https://lmztiles.s3.eu-west-1.amazonaws.com/Modern_Interiors_v41.3.4/1_Interiors/16x16/Theme_Sorter_Singles/4_Bedroom_Singles/Bedroom_Singles_298.png")</f>
        <v/>
      </c>
      <c r="C296" s="14"/>
    </row>
    <row r="297" ht="33.75" customHeight="1">
      <c r="A297" s="14" t="s">
        <v>839</v>
      </c>
      <c r="B297" s="14" t="str">
        <f>IMAGE("https://lmztiles.s3.eu-west-1.amazonaws.com/Modern_Interiors_v41.3.4/1_Interiors/16x16/Theme_Sorter_Singles/4_Bedroom_Singles/Bedroom_Singles_299.png")</f>
        <v/>
      </c>
      <c r="C297" s="14"/>
    </row>
    <row r="298" ht="33.75" customHeight="1">
      <c r="A298" s="14" t="s">
        <v>840</v>
      </c>
      <c r="B298" s="14" t="str">
        <f>IMAGE("https://lmztiles.s3.eu-west-1.amazonaws.com/Modern_Interiors_v41.3.4/1_Interiors/16x16/Theme_Sorter_Singles/4_Bedroom_Singles/Bedroom_Singles_300.png")</f>
        <v/>
      </c>
      <c r="C298" s="14"/>
    </row>
    <row r="299" ht="33.75" customHeight="1">
      <c r="A299" s="14" t="s">
        <v>841</v>
      </c>
      <c r="B299" s="14" t="str">
        <f>IMAGE("https://lmztiles.s3.eu-west-1.amazonaws.com/Modern_Interiors_v41.3.4/1_Interiors/16x16/Theme_Sorter_Singles/4_Bedroom_Singles/Bedroom_Singles_301.png")</f>
        <v/>
      </c>
      <c r="C299" s="14"/>
    </row>
    <row r="300" ht="33.75" customHeight="1">
      <c r="A300" s="14" t="s">
        <v>842</v>
      </c>
      <c r="B300" s="14" t="str">
        <f>IMAGE("https://lmztiles.s3.eu-west-1.amazonaws.com/Modern_Interiors_v41.3.4/1_Interiors/16x16/Theme_Sorter_Singles/4_Bedroom_Singles/Bedroom_Singles_302.png")</f>
        <v/>
      </c>
      <c r="C300" s="14"/>
    </row>
    <row r="301" ht="33.75" customHeight="1">
      <c r="A301" s="14" t="s">
        <v>843</v>
      </c>
      <c r="B301" s="14" t="str">
        <f>IMAGE("https://lmztiles.s3.eu-west-1.amazonaws.com/Modern_Interiors_v41.3.4/1_Interiors/16x16/Theme_Sorter_Singles/4_Bedroom_Singles/Bedroom_Singles_303.png")</f>
        <v/>
      </c>
      <c r="C301" s="14"/>
    </row>
    <row r="302" ht="33.75" customHeight="1">
      <c r="A302" s="14" t="s">
        <v>844</v>
      </c>
      <c r="B302" s="14" t="str">
        <f>IMAGE("https://lmztiles.s3.eu-west-1.amazonaws.com/Modern_Interiors_v41.3.4/1_Interiors/16x16/Theme_Sorter_Singles/4_Bedroom_Singles/Bedroom_Singles_304.png")</f>
        <v/>
      </c>
      <c r="C302" s="14"/>
    </row>
    <row r="303" ht="33.75" customHeight="1">
      <c r="A303" s="14" t="s">
        <v>845</v>
      </c>
      <c r="B303" s="14" t="str">
        <f>IMAGE("https://lmztiles.s3.eu-west-1.amazonaws.com/Modern_Interiors_v41.3.4/1_Interiors/16x16/Theme_Sorter_Singles/4_Bedroom_Singles/Bedroom_Singles_305.png")</f>
        <v/>
      </c>
      <c r="C303" s="14"/>
    </row>
    <row r="304" ht="33.75" customHeight="1">
      <c r="A304" s="14" t="s">
        <v>846</v>
      </c>
      <c r="B304" s="14" t="str">
        <f>IMAGE("https://lmztiles.s3.eu-west-1.amazonaws.com/Modern_Interiors_v41.3.4/1_Interiors/16x16/Theme_Sorter_Singles/4_Bedroom_Singles/Bedroom_Singles_306.png")</f>
        <v/>
      </c>
      <c r="C304" s="14"/>
    </row>
    <row r="305" ht="33.75" customHeight="1">
      <c r="A305" s="14" t="s">
        <v>847</v>
      </c>
      <c r="B305" s="14" t="str">
        <f>IMAGE("https://lmztiles.s3.eu-west-1.amazonaws.com/Modern_Interiors_v41.3.4/1_Interiors/16x16/Theme_Sorter_Singles/4_Bedroom_Singles/Bedroom_Singles_307.png")</f>
        <v/>
      </c>
      <c r="C305" s="14"/>
    </row>
    <row r="306" ht="33.75" customHeight="1">
      <c r="A306" s="14" t="s">
        <v>848</v>
      </c>
      <c r="B306" s="14" t="str">
        <f>IMAGE("https://lmztiles.s3.eu-west-1.amazonaws.com/Modern_Interiors_v41.3.4/1_Interiors/16x16/Theme_Sorter_Singles/4_Bedroom_Singles/Bedroom_Singles_308.png")</f>
        <v/>
      </c>
      <c r="C306" s="14"/>
    </row>
    <row r="307" ht="33.75" customHeight="1">
      <c r="A307" s="14" t="s">
        <v>849</v>
      </c>
      <c r="B307" s="14" t="str">
        <f>IMAGE("https://lmztiles.s3.eu-west-1.amazonaws.com/Modern_Interiors_v41.3.4/1_Interiors/16x16/Theme_Sorter_Singles/4_Bedroom_Singles/Bedroom_Singles_309.png")</f>
        <v/>
      </c>
      <c r="C307" s="14"/>
    </row>
    <row r="308" ht="33.75" customHeight="1">
      <c r="A308" s="14" t="s">
        <v>850</v>
      </c>
      <c r="B308" s="14" t="str">
        <f>IMAGE("https://lmztiles.s3.eu-west-1.amazonaws.com/Modern_Interiors_v41.3.4/1_Interiors/16x16/Theme_Sorter_Singles/4_Bedroom_Singles/Bedroom_Singles_310.png")</f>
        <v/>
      </c>
      <c r="C308" s="14"/>
    </row>
    <row r="309" ht="33.75" customHeight="1">
      <c r="A309" s="14" t="s">
        <v>851</v>
      </c>
      <c r="B309" s="14" t="str">
        <f>IMAGE("https://lmztiles.s3.eu-west-1.amazonaws.com/Modern_Interiors_v41.3.4/1_Interiors/16x16/Theme_Sorter_Singles/4_Bedroom_Singles/Bedroom_Singles_311.png")</f>
        <v/>
      </c>
      <c r="C309" s="14"/>
    </row>
    <row r="310" ht="33.75" customHeight="1">
      <c r="A310" s="14" t="s">
        <v>852</v>
      </c>
      <c r="B310" s="14" t="str">
        <f>IMAGE("https://lmztiles.s3.eu-west-1.amazonaws.com/Modern_Interiors_v41.3.4/1_Interiors/16x16/Theme_Sorter_Singles/4_Bedroom_Singles/Bedroom_Singles_312.png")</f>
        <v/>
      </c>
      <c r="C310" s="14"/>
    </row>
    <row r="311" ht="33.75" customHeight="1">
      <c r="A311" s="14" t="s">
        <v>853</v>
      </c>
      <c r="B311" s="14" t="str">
        <f>IMAGE("https://lmztiles.s3.eu-west-1.amazonaws.com/Modern_Interiors_v41.3.4/1_Interiors/16x16/Theme_Sorter_Singles/4_Bedroom_Singles/Bedroom_Singles_313.png")</f>
        <v/>
      </c>
      <c r="C311" s="14"/>
    </row>
    <row r="312" ht="33.75" customHeight="1">
      <c r="A312" s="14" t="s">
        <v>854</v>
      </c>
      <c r="B312" s="14" t="str">
        <f>IMAGE("https://lmztiles.s3.eu-west-1.amazonaws.com/Modern_Interiors_v41.3.4/1_Interiors/16x16/Theme_Sorter_Singles/4_Bedroom_Singles/Bedroom_Singles_314.png")</f>
        <v/>
      </c>
      <c r="C312" s="14"/>
    </row>
    <row r="313" ht="33.75" customHeight="1">
      <c r="A313" s="14" t="s">
        <v>855</v>
      </c>
      <c r="B313" s="14" t="str">
        <f>IMAGE("https://lmztiles.s3.eu-west-1.amazonaws.com/Modern_Interiors_v41.3.4/1_Interiors/16x16/Theme_Sorter_Singles/4_Bedroom_Singles/Bedroom_Singles_315.png")</f>
        <v/>
      </c>
      <c r="C313" s="14"/>
    </row>
    <row r="314" ht="33.75" customHeight="1">
      <c r="A314" s="14" t="s">
        <v>856</v>
      </c>
      <c r="B314" s="14" t="str">
        <f>IMAGE("https://lmztiles.s3.eu-west-1.amazonaws.com/Modern_Interiors_v41.3.4/1_Interiors/16x16/Theme_Sorter_Singles/4_Bedroom_Singles/Bedroom_Singles_316.png")</f>
        <v/>
      </c>
      <c r="C314" s="14"/>
    </row>
    <row r="315" ht="33.75" customHeight="1">
      <c r="A315" s="14" t="s">
        <v>857</v>
      </c>
      <c r="B315" s="14" t="str">
        <f>IMAGE("https://lmztiles.s3.eu-west-1.amazonaws.com/Modern_Interiors_v41.3.4/1_Interiors/16x16/Theme_Sorter_Singles/4_Bedroom_Singles/Bedroom_Singles_317.png")</f>
        <v/>
      </c>
      <c r="C315" s="14"/>
    </row>
    <row r="316" ht="33.75" customHeight="1">
      <c r="A316" s="14" t="s">
        <v>858</v>
      </c>
      <c r="B316" s="14" t="str">
        <f>IMAGE("https://lmztiles.s3.eu-west-1.amazonaws.com/Modern_Interiors_v41.3.4/1_Interiors/16x16/Theme_Sorter_Singles/4_Bedroom_Singles/Bedroom_Singles_318.png")</f>
        <v/>
      </c>
      <c r="C316" s="14"/>
    </row>
    <row r="317" ht="33.75" customHeight="1">
      <c r="A317" s="14" t="s">
        <v>859</v>
      </c>
      <c r="B317" s="14" t="str">
        <f>IMAGE("https://lmztiles.s3.eu-west-1.amazonaws.com/Modern_Interiors_v41.3.4/1_Interiors/16x16/Theme_Sorter_Singles/4_Bedroom_Singles/Bedroom_Singles_319.png")</f>
        <v/>
      </c>
      <c r="C317" s="14"/>
    </row>
    <row r="318" ht="33.75" customHeight="1">
      <c r="A318" s="14" t="s">
        <v>860</v>
      </c>
      <c r="B318" s="14" t="str">
        <f>IMAGE("https://lmztiles.s3.eu-west-1.amazonaws.com/Modern_Interiors_v41.3.4/1_Interiors/16x16/Theme_Sorter_Singles/4_Bedroom_Singles/Bedroom_Singles_320.png")</f>
        <v/>
      </c>
      <c r="C318" s="14"/>
    </row>
    <row r="319" ht="33.75" customHeight="1">
      <c r="A319" s="14" t="s">
        <v>861</v>
      </c>
      <c r="B319" s="14" t="str">
        <f>IMAGE("https://lmztiles.s3.eu-west-1.amazonaws.com/Modern_Interiors_v41.3.4/1_Interiors/16x16/Theme_Sorter_Singles/4_Bedroom_Singles/Bedroom_Singles_321.png")</f>
        <v/>
      </c>
      <c r="C319" s="14"/>
    </row>
    <row r="320" ht="33.75" customHeight="1">
      <c r="A320" s="14" t="s">
        <v>862</v>
      </c>
      <c r="B320" s="14" t="str">
        <f>IMAGE("https://lmztiles.s3.eu-west-1.amazonaws.com/Modern_Interiors_v41.3.4/1_Interiors/16x16/Theme_Sorter_Singles/4_Bedroom_Singles/Bedroom_Singles_322.png")</f>
        <v/>
      </c>
      <c r="C320" s="14"/>
    </row>
    <row r="321" ht="33.75" customHeight="1">
      <c r="A321" s="14" t="s">
        <v>863</v>
      </c>
      <c r="B321" s="14" t="str">
        <f>IMAGE("https://lmztiles.s3.eu-west-1.amazonaws.com/Modern_Interiors_v41.3.4/1_Interiors/16x16/Theme_Sorter_Singles/4_Bedroom_Singles/Bedroom_Singles_323.png")</f>
        <v/>
      </c>
      <c r="C321" s="14"/>
    </row>
    <row r="322" ht="33.75" customHeight="1">
      <c r="A322" s="14" t="s">
        <v>864</v>
      </c>
      <c r="B322" s="14" t="str">
        <f>IMAGE("https://lmztiles.s3.eu-west-1.amazonaws.com/Modern_Interiors_v41.3.4/1_Interiors/16x16/Theme_Sorter_Singles/4_Bedroom_Singles/Bedroom_Singles_324.png")</f>
        <v/>
      </c>
      <c r="C322" s="14"/>
    </row>
    <row r="323" ht="33.75" customHeight="1">
      <c r="A323" s="14" t="s">
        <v>865</v>
      </c>
      <c r="B323" s="14" t="str">
        <f>IMAGE("https://lmztiles.s3.eu-west-1.amazonaws.com/Modern_Interiors_v41.3.4/1_Interiors/16x16/Theme_Sorter_Singles/4_Bedroom_Singles/Bedroom_Singles_325.png")</f>
        <v/>
      </c>
      <c r="C323" s="14"/>
    </row>
    <row r="324" ht="33.75" customHeight="1">
      <c r="A324" s="14" t="s">
        <v>866</v>
      </c>
      <c r="B324" s="14" t="str">
        <f>IMAGE("https://lmztiles.s3.eu-west-1.amazonaws.com/Modern_Interiors_v41.3.4/1_Interiors/16x16/Theme_Sorter_Singles/4_Bedroom_Singles/Bedroom_Singles_326.png")</f>
        <v/>
      </c>
      <c r="C324" s="14"/>
    </row>
    <row r="325" ht="33.75" customHeight="1">
      <c r="A325" s="14" t="s">
        <v>867</v>
      </c>
      <c r="B325" s="14" t="str">
        <f>IMAGE("https://lmztiles.s3.eu-west-1.amazonaws.com/Modern_Interiors_v41.3.4/1_Interiors/16x16/Theme_Sorter_Singles/4_Bedroom_Singles/Bedroom_Singles_327.png")</f>
        <v/>
      </c>
      <c r="C325" s="14"/>
    </row>
    <row r="326" ht="33.75" customHeight="1">
      <c r="A326" s="14" t="s">
        <v>868</v>
      </c>
      <c r="B326" s="14" t="str">
        <f>IMAGE("https://lmztiles.s3.eu-west-1.amazonaws.com/Modern_Interiors_v41.3.4/1_Interiors/16x16/Theme_Sorter_Singles/4_Bedroom_Singles/Bedroom_Singles_328.png")</f>
        <v/>
      </c>
      <c r="C326" s="14"/>
    </row>
    <row r="327" ht="33.75" customHeight="1">
      <c r="A327" s="14" t="s">
        <v>869</v>
      </c>
      <c r="B327" s="14" t="str">
        <f>IMAGE("https://lmztiles.s3.eu-west-1.amazonaws.com/Modern_Interiors_v41.3.4/1_Interiors/16x16/Theme_Sorter_Singles/4_Bedroom_Singles/Bedroom_Singles_329.png")</f>
        <v/>
      </c>
      <c r="C327" s="14"/>
    </row>
    <row r="328" ht="33.75" customHeight="1">
      <c r="A328" s="14" t="s">
        <v>870</v>
      </c>
      <c r="B328" s="14" t="str">
        <f>IMAGE("https://lmztiles.s3.eu-west-1.amazonaws.com/Modern_Interiors_v41.3.4/1_Interiors/16x16/Theme_Sorter_Singles/4_Bedroom_Singles/Bedroom_Singles_330.png")</f>
        <v/>
      </c>
      <c r="C328" s="14"/>
    </row>
    <row r="329" ht="33.75" customHeight="1">
      <c r="A329" s="14" t="s">
        <v>871</v>
      </c>
      <c r="B329" s="14" t="str">
        <f>IMAGE("https://lmztiles.s3.eu-west-1.amazonaws.com/Modern_Interiors_v41.3.4/1_Interiors/16x16/Theme_Sorter_Singles/4_Bedroom_Singles/Bedroom_Singles_331.png")</f>
        <v/>
      </c>
      <c r="C329" s="14"/>
    </row>
    <row r="330" ht="33.75" customHeight="1">
      <c r="A330" s="14" t="s">
        <v>872</v>
      </c>
      <c r="B330" s="14" t="str">
        <f>IMAGE("https://lmztiles.s3.eu-west-1.amazonaws.com/Modern_Interiors_v41.3.4/1_Interiors/16x16/Theme_Sorter_Singles/4_Bedroom_Singles/Bedroom_Singles_332.png")</f>
        <v/>
      </c>
      <c r="C330" s="14"/>
    </row>
    <row r="331" ht="33.75" customHeight="1">
      <c r="A331" s="14" t="s">
        <v>873</v>
      </c>
      <c r="B331" s="14" t="str">
        <f>IMAGE("https://lmztiles.s3.eu-west-1.amazonaws.com/Modern_Interiors_v41.3.4/1_Interiors/16x16/Theme_Sorter_Singles/4_Bedroom_Singles/Bedroom_Singles_333.png")</f>
        <v/>
      </c>
      <c r="C331" s="14"/>
    </row>
    <row r="332" ht="33.75" customHeight="1">
      <c r="A332" s="14" t="s">
        <v>874</v>
      </c>
      <c r="B332" s="14" t="str">
        <f>IMAGE("https://lmztiles.s3.eu-west-1.amazonaws.com/Modern_Interiors_v41.3.4/1_Interiors/16x16/Theme_Sorter_Singles/4_Bedroom_Singles/Bedroom_Singles_334.png")</f>
        <v/>
      </c>
      <c r="C332" s="14"/>
    </row>
    <row r="333" ht="33.75" customHeight="1">
      <c r="A333" s="14" t="s">
        <v>875</v>
      </c>
      <c r="B333" s="14" t="str">
        <f>IMAGE("https://lmztiles.s3.eu-west-1.amazonaws.com/Modern_Interiors_v41.3.4/1_Interiors/16x16/Theme_Sorter_Singles/4_Bedroom_Singles/Bedroom_Singles_335.png")</f>
        <v/>
      </c>
      <c r="C333" s="14"/>
    </row>
    <row r="334" ht="33.75" customHeight="1">
      <c r="A334" s="14" t="s">
        <v>876</v>
      </c>
      <c r="B334" s="14" t="str">
        <f>IMAGE("https://lmztiles.s3.eu-west-1.amazonaws.com/Modern_Interiors_v41.3.4/1_Interiors/16x16/Theme_Sorter_Singles/4_Bedroom_Singles/Bedroom_Singles_336.png")</f>
        <v/>
      </c>
      <c r="C334" s="14"/>
    </row>
    <row r="335" ht="33.75" customHeight="1">
      <c r="A335" s="14" t="s">
        <v>877</v>
      </c>
      <c r="B335" s="14" t="str">
        <f>IMAGE("https://lmztiles.s3.eu-west-1.amazonaws.com/Modern_Interiors_v41.3.4/1_Interiors/16x16/Theme_Sorter_Singles/4_Bedroom_Singles/Bedroom_Singles_337.png")</f>
        <v/>
      </c>
      <c r="C335" s="14"/>
    </row>
    <row r="336" ht="33.75" customHeight="1">
      <c r="A336" s="14" t="s">
        <v>878</v>
      </c>
      <c r="B336" s="14" t="str">
        <f>IMAGE("https://lmztiles.s3.eu-west-1.amazonaws.com/Modern_Interiors_v41.3.4/1_Interiors/16x16/Theme_Sorter_Singles/4_Bedroom_Singles/Bedroom_Singles_338.png")</f>
        <v/>
      </c>
      <c r="C336" s="14"/>
    </row>
    <row r="337" ht="33.75" customHeight="1">
      <c r="A337" s="14" t="s">
        <v>879</v>
      </c>
      <c r="B337" s="14" t="str">
        <f>IMAGE("https://lmztiles.s3.eu-west-1.amazonaws.com/Modern_Interiors_v41.3.4/1_Interiors/16x16/Theme_Sorter_Singles/4_Bedroom_Singles/Bedroom_Singles_339.png")</f>
        <v/>
      </c>
      <c r="C337" s="14"/>
    </row>
    <row r="338" ht="33.75" customHeight="1">
      <c r="A338" s="14" t="s">
        <v>880</v>
      </c>
      <c r="B338" s="14" t="str">
        <f>IMAGE("https://lmztiles.s3.eu-west-1.amazonaws.com/Modern_Interiors_v41.3.4/1_Interiors/16x16/Theme_Sorter_Singles/4_Bedroom_Singles/Bedroom_Singles_340.png")</f>
        <v/>
      </c>
      <c r="C338" s="14"/>
    </row>
    <row r="339" ht="33.75" customHeight="1">
      <c r="A339" s="14" t="s">
        <v>881</v>
      </c>
      <c r="B339" s="14" t="str">
        <f>IMAGE("https://lmztiles.s3.eu-west-1.amazonaws.com/Modern_Interiors_v41.3.4/1_Interiors/16x16/Theme_Sorter_Singles/4_Bedroom_Singles/Bedroom_Singles_341.png")</f>
        <v/>
      </c>
      <c r="C339" s="14"/>
    </row>
    <row r="340" ht="33.75" customHeight="1">
      <c r="A340" s="14" t="s">
        <v>882</v>
      </c>
      <c r="B340" s="14" t="str">
        <f>IMAGE("https://lmztiles.s3.eu-west-1.amazonaws.com/Modern_Interiors_v41.3.4/1_Interiors/16x16/Theme_Sorter_Singles/4_Bedroom_Singles/Bedroom_Singles_342.png")</f>
        <v/>
      </c>
      <c r="C340" s="14"/>
    </row>
    <row r="341" ht="33.75" customHeight="1">
      <c r="A341" s="14" t="s">
        <v>883</v>
      </c>
      <c r="B341" s="14" t="str">
        <f>IMAGE("https://lmztiles.s3.eu-west-1.amazonaws.com/Modern_Interiors_v41.3.4/1_Interiors/16x16/Theme_Sorter_Singles/4_Bedroom_Singles/Bedroom_Singles_343.png")</f>
        <v/>
      </c>
      <c r="C341" s="14"/>
    </row>
    <row r="342" ht="33.75" customHeight="1">
      <c r="A342" s="14" t="s">
        <v>884</v>
      </c>
      <c r="B342" s="14" t="str">
        <f>IMAGE("https://lmztiles.s3.eu-west-1.amazonaws.com/Modern_Interiors_v41.3.4/1_Interiors/16x16/Theme_Sorter_Singles/4_Bedroom_Singles/Bedroom_Singles_344.png")</f>
        <v/>
      </c>
      <c r="C342" s="14"/>
    </row>
    <row r="343" ht="33.75" customHeight="1">
      <c r="A343" s="14" t="s">
        <v>885</v>
      </c>
      <c r="B343" s="14" t="str">
        <f>IMAGE("https://lmztiles.s3.eu-west-1.amazonaws.com/Modern_Interiors_v41.3.4/1_Interiors/16x16/Theme_Sorter_Singles/4_Bedroom_Singles/Bedroom_Singles_345.png")</f>
        <v/>
      </c>
      <c r="C343" s="14"/>
    </row>
    <row r="344" ht="33.75" customHeight="1">
      <c r="A344" s="14" t="s">
        <v>886</v>
      </c>
      <c r="B344" s="14" t="str">
        <f>IMAGE("https://lmztiles.s3.eu-west-1.amazonaws.com/Modern_Interiors_v41.3.4/1_Interiors/16x16/Theme_Sorter_Singles/4_Bedroom_Singles/Bedroom_Singles_346.png")</f>
        <v/>
      </c>
      <c r="C344" s="14"/>
    </row>
    <row r="345" ht="33.75" customHeight="1">
      <c r="A345" s="14" t="s">
        <v>887</v>
      </c>
      <c r="B345" s="14" t="str">
        <f>IMAGE("https://lmztiles.s3.eu-west-1.amazonaws.com/Modern_Interiors_v41.3.4/1_Interiors/16x16/Theme_Sorter_Singles/4_Bedroom_Singles/Bedroom_Singles_347.png")</f>
        <v/>
      </c>
      <c r="C345" s="14"/>
    </row>
    <row r="346" ht="33.75" customHeight="1">
      <c r="A346" s="14" t="s">
        <v>888</v>
      </c>
      <c r="B346" s="14" t="str">
        <f>IMAGE("https://lmztiles.s3.eu-west-1.amazonaws.com/Modern_Interiors_v41.3.4/1_Interiors/16x16/Theme_Sorter_Singles/4_Bedroom_Singles/Bedroom_Singles_348.png")</f>
        <v/>
      </c>
      <c r="C346" s="14"/>
    </row>
    <row r="347" ht="33.75" customHeight="1">
      <c r="A347" s="14" t="s">
        <v>889</v>
      </c>
      <c r="B347" s="14" t="str">
        <f>IMAGE("https://lmztiles.s3.eu-west-1.amazonaws.com/Modern_Interiors_v41.3.4/1_Interiors/16x16/Theme_Sorter_Singles/4_Bedroom_Singles/Bedroom_Singles_349.png")</f>
        <v/>
      </c>
      <c r="C347" s="14"/>
    </row>
    <row r="348" ht="33.75" customHeight="1">
      <c r="A348" s="14" t="s">
        <v>890</v>
      </c>
      <c r="B348" s="14" t="str">
        <f>IMAGE("https://lmztiles.s3.eu-west-1.amazonaws.com/Modern_Interiors_v41.3.4/1_Interiors/16x16/Theme_Sorter_Singles/4_Bedroom_Singles/Bedroom_Singles_350.png")</f>
        <v/>
      </c>
      <c r="C348" s="14"/>
    </row>
    <row r="349" ht="33.75" customHeight="1">
      <c r="A349" s="14" t="s">
        <v>891</v>
      </c>
      <c r="B349" s="14" t="str">
        <f>IMAGE("https://lmztiles.s3.eu-west-1.amazonaws.com/Modern_Interiors_v41.3.4/1_Interiors/16x16/Theme_Sorter_Singles/4_Bedroom_Singles/Bedroom_Singles_351.png")</f>
        <v/>
      </c>
      <c r="C349" s="14"/>
    </row>
    <row r="350" ht="33.75" customHeight="1">
      <c r="A350" s="14" t="s">
        <v>892</v>
      </c>
      <c r="B350" s="14" t="str">
        <f>IMAGE("https://lmztiles.s3.eu-west-1.amazonaws.com/Modern_Interiors_v41.3.4/1_Interiors/16x16/Theme_Sorter_Singles/4_Bedroom_Singles/Bedroom_Singles_352.png")</f>
        <v/>
      </c>
      <c r="C350" s="14"/>
    </row>
    <row r="351" ht="33.75" customHeight="1">
      <c r="A351" s="14" t="s">
        <v>893</v>
      </c>
      <c r="B351" s="14" t="str">
        <f>IMAGE("https://lmztiles.s3.eu-west-1.amazonaws.com/Modern_Interiors_v41.3.4/1_Interiors/16x16/Theme_Sorter_Singles/4_Bedroom_Singles/Bedroom_Singles_353.png")</f>
        <v/>
      </c>
      <c r="C351" s="14"/>
    </row>
    <row r="352" ht="33.75" customHeight="1">
      <c r="A352" s="14" t="s">
        <v>894</v>
      </c>
      <c r="B352" s="14" t="str">
        <f>IMAGE("https://lmztiles.s3.eu-west-1.amazonaws.com/Modern_Interiors_v41.3.4/1_Interiors/16x16/Theme_Sorter_Singles/4_Bedroom_Singles/Bedroom_Singles_354.png")</f>
        <v/>
      </c>
      <c r="C352" s="14"/>
    </row>
    <row r="353" ht="33.75" customHeight="1">
      <c r="A353" s="14" t="s">
        <v>895</v>
      </c>
      <c r="B353" s="14" t="str">
        <f>IMAGE("https://lmztiles.s3.eu-west-1.amazonaws.com/Modern_Interiors_v41.3.4/1_Interiors/16x16/Theme_Sorter_Singles/4_Bedroom_Singles/Bedroom_Singles_355.png")</f>
        <v/>
      </c>
      <c r="C353" s="14"/>
    </row>
    <row r="354" ht="33.75" customHeight="1">
      <c r="A354" s="14" t="s">
        <v>896</v>
      </c>
      <c r="B354" s="14" t="str">
        <f>IMAGE("https://lmztiles.s3.eu-west-1.amazonaws.com/Modern_Interiors_v41.3.4/1_Interiors/16x16/Theme_Sorter_Singles/4_Bedroom_Singles/Bedroom_Singles_356.png")</f>
        <v/>
      </c>
      <c r="C354" s="14"/>
    </row>
    <row r="355" ht="33.75" customHeight="1">
      <c r="A355" s="14" t="s">
        <v>897</v>
      </c>
      <c r="B355" s="14" t="str">
        <f>IMAGE("https://lmztiles.s3.eu-west-1.amazonaws.com/Modern_Interiors_v41.3.4/1_Interiors/16x16/Theme_Sorter_Singles/4_Bedroom_Singles/Bedroom_Singles_357.png")</f>
        <v/>
      </c>
      <c r="C355" s="14"/>
    </row>
    <row r="356" ht="33.75" customHeight="1">
      <c r="A356" s="14" t="s">
        <v>898</v>
      </c>
      <c r="B356" s="14" t="str">
        <f>IMAGE("https://lmztiles.s3.eu-west-1.amazonaws.com/Modern_Interiors_v41.3.4/1_Interiors/16x16/Theme_Sorter_Singles/4_Bedroom_Singles/Bedroom_Singles_358.png")</f>
        <v/>
      </c>
      <c r="C356" s="14"/>
    </row>
    <row r="357" ht="33.75" customHeight="1">
      <c r="A357" s="14" t="s">
        <v>899</v>
      </c>
      <c r="B357" s="14" t="str">
        <f>IMAGE("https://lmztiles.s3.eu-west-1.amazonaws.com/Modern_Interiors_v41.3.4/1_Interiors/16x16/Theme_Sorter_Singles/4_Bedroom_Singles/Bedroom_Singles_359.png")</f>
        <v/>
      </c>
      <c r="C357" s="14"/>
    </row>
    <row r="358" ht="33.75" customHeight="1">
      <c r="A358" s="14" t="s">
        <v>900</v>
      </c>
      <c r="B358" s="14" t="str">
        <f>IMAGE("https://lmztiles.s3.eu-west-1.amazonaws.com/Modern_Interiors_v41.3.4/1_Interiors/16x16/Theme_Sorter_Singles/4_Bedroom_Singles/Bedroom_Singles_360.png")</f>
        <v/>
      </c>
      <c r="C358" s="14"/>
    </row>
    <row r="359" ht="33.75" customHeight="1">
      <c r="A359" s="14" t="s">
        <v>901</v>
      </c>
      <c r="B359" s="14" t="str">
        <f>IMAGE("https://lmztiles.s3.eu-west-1.amazonaws.com/Modern_Interiors_v41.3.4/1_Interiors/16x16/Theme_Sorter_Singles/4_Bedroom_Singles/Bedroom_Singles_361.png")</f>
        <v/>
      </c>
      <c r="C359" s="14"/>
    </row>
    <row r="360" ht="33.75" customHeight="1">
      <c r="A360" s="14" t="s">
        <v>902</v>
      </c>
      <c r="B360" s="14" t="str">
        <f>IMAGE("https://lmztiles.s3.eu-west-1.amazonaws.com/Modern_Interiors_v41.3.4/1_Interiors/16x16/Theme_Sorter_Singles/4_Bedroom_Singles/Bedroom_Singles_362.png")</f>
        <v/>
      </c>
      <c r="C360" s="14"/>
    </row>
    <row r="361" ht="33.75" customHeight="1">
      <c r="A361" s="14" t="s">
        <v>903</v>
      </c>
      <c r="B361" s="14" t="str">
        <f>IMAGE("https://lmztiles.s3.eu-west-1.amazonaws.com/Modern_Interiors_v41.3.4/1_Interiors/16x16/Theme_Sorter_Singles/4_Bedroom_Singles/Bedroom_Singles_363.png")</f>
        <v/>
      </c>
      <c r="C361" s="14"/>
    </row>
    <row r="362" ht="33.75" customHeight="1">
      <c r="A362" s="14" t="s">
        <v>904</v>
      </c>
      <c r="B362" s="14" t="str">
        <f>IMAGE("https://lmztiles.s3.eu-west-1.amazonaws.com/Modern_Interiors_v41.3.4/1_Interiors/16x16/Theme_Sorter_Singles/4_Bedroom_Singles/Bedroom_Singles_364.png")</f>
        <v/>
      </c>
      <c r="C362" s="14"/>
    </row>
    <row r="363" ht="33.75" customHeight="1">
      <c r="A363" s="14" t="s">
        <v>905</v>
      </c>
      <c r="B363" s="14" t="str">
        <f>IMAGE("https://lmztiles.s3.eu-west-1.amazonaws.com/Modern_Interiors_v41.3.4/1_Interiors/16x16/Theme_Sorter_Singles/4_Bedroom_Singles/Bedroom_Singles_365.png")</f>
        <v/>
      </c>
      <c r="C363" s="14"/>
    </row>
    <row r="364" ht="33.75" customHeight="1">
      <c r="A364" s="14" t="s">
        <v>906</v>
      </c>
      <c r="B364" s="14" t="str">
        <f>IMAGE("https://lmztiles.s3.eu-west-1.amazonaws.com/Modern_Interiors_v41.3.4/1_Interiors/16x16/Theme_Sorter_Singles/4_Bedroom_Singles/Bedroom_Singles_366.png")</f>
        <v/>
      </c>
      <c r="C364" s="14"/>
    </row>
    <row r="365" ht="33.75" customHeight="1">
      <c r="A365" s="14" t="s">
        <v>907</v>
      </c>
      <c r="B365" s="14" t="str">
        <f>IMAGE("https://lmztiles.s3.eu-west-1.amazonaws.com/Modern_Interiors_v41.3.4/1_Interiors/16x16/Theme_Sorter_Singles/4_Bedroom_Singles/Bedroom_Singles_367.png")</f>
        <v/>
      </c>
      <c r="C365" s="14"/>
    </row>
    <row r="366" ht="33.75" customHeight="1">
      <c r="A366" s="14" t="s">
        <v>908</v>
      </c>
      <c r="B366" s="14" t="str">
        <f>IMAGE("https://lmztiles.s3.eu-west-1.amazonaws.com/Modern_Interiors_v41.3.4/1_Interiors/16x16/Theme_Sorter_Singles/4_Bedroom_Singles/Bedroom_Singles_368.png")</f>
        <v/>
      </c>
      <c r="C366" s="14"/>
    </row>
    <row r="367" ht="33.75" customHeight="1">
      <c r="A367" s="14" t="s">
        <v>909</v>
      </c>
      <c r="B367" s="14" t="str">
        <f>IMAGE("https://lmztiles.s3.eu-west-1.amazonaws.com/Modern_Interiors_v41.3.4/1_Interiors/16x16/Theme_Sorter_Singles/4_Bedroom_Singles/Bedroom_Singles_369.png")</f>
        <v/>
      </c>
      <c r="C367" s="14"/>
    </row>
    <row r="368" ht="33.75" customHeight="1">
      <c r="A368" s="14" t="s">
        <v>910</v>
      </c>
      <c r="B368" s="14" t="str">
        <f>IMAGE("https://lmztiles.s3.eu-west-1.amazonaws.com/Modern_Interiors_v41.3.4/1_Interiors/16x16/Theme_Sorter_Singles/4_Bedroom_Singles/Bedroom_Singles_370.png")</f>
        <v/>
      </c>
      <c r="C368" s="14"/>
    </row>
    <row r="369" ht="33.75" customHeight="1">
      <c r="A369" s="14" t="s">
        <v>911</v>
      </c>
      <c r="B369" s="14" t="str">
        <f>IMAGE("https://lmztiles.s3.eu-west-1.amazonaws.com/Modern_Interiors_v41.3.4/1_Interiors/16x16/Theme_Sorter_Singles/4_Bedroom_Singles/Bedroom_Singles_371.png")</f>
        <v/>
      </c>
      <c r="C369" s="14"/>
    </row>
    <row r="370" ht="33.75" customHeight="1">
      <c r="A370" s="14" t="s">
        <v>912</v>
      </c>
      <c r="B370" s="14" t="str">
        <f>IMAGE("https://lmztiles.s3.eu-west-1.amazonaws.com/Modern_Interiors_v41.3.4/1_Interiors/16x16/Theme_Sorter_Singles/4_Bedroom_Singles/Bedroom_Singles_372.png")</f>
        <v/>
      </c>
      <c r="C370" s="14"/>
    </row>
    <row r="371" ht="33.75" customHeight="1">
      <c r="A371" s="14" t="s">
        <v>913</v>
      </c>
      <c r="B371" s="14" t="str">
        <f>IMAGE("https://lmztiles.s3.eu-west-1.amazonaws.com/Modern_Interiors_v41.3.4/1_Interiors/16x16/Theme_Sorter_Singles/4_Bedroom_Singles/Bedroom_Singles_373.png")</f>
        <v/>
      </c>
      <c r="C371" s="14"/>
    </row>
    <row r="372" ht="33.75" customHeight="1">
      <c r="A372" s="14" t="s">
        <v>914</v>
      </c>
      <c r="B372" s="14" t="str">
        <f>IMAGE("https://lmztiles.s3.eu-west-1.amazonaws.com/Modern_Interiors_v41.3.4/1_Interiors/16x16/Theme_Sorter_Singles/4_Bedroom_Singles/Bedroom_Singles_374.png")</f>
        <v/>
      </c>
      <c r="C372" s="14"/>
    </row>
    <row r="373" ht="33.75" customHeight="1">
      <c r="A373" s="14" t="s">
        <v>915</v>
      </c>
      <c r="B373" s="14" t="str">
        <f>IMAGE("https://lmztiles.s3.eu-west-1.amazonaws.com/Modern_Interiors_v41.3.4/1_Interiors/16x16/Theme_Sorter_Singles/4_Bedroom_Singles/Bedroom_Singles_375.png")</f>
        <v/>
      </c>
      <c r="C373" s="14"/>
    </row>
    <row r="374" ht="33.75" customHeight="1">
      <c r="A374" s="14" t="s">
        <v>916</v>
      </c>
      <c r="B374" s="14" t="str">
        <f>IMAGE("https://lmztiles.s3.eu-west-1.amazonaws.com/Modern_Interiors_v41.3.4/1_Interiors/16x16/Theme_Sorter_Singles/4_Bedroom_Singles/Bedroom_Singles_376.png")</f>
        <v/>
      </c>
      <c r="C374" s="14"/>
    </row>
    <row r="375" ht="33.75" customHeight="1">
      <c r="A375" s="14" t="s">
        <v>917</v>
      </c>
      <c r="B375" s="14" t="str">
        <f>IMAGE("https://lmztiles.s3.eu-west-1.amazonaws.com/Modern_Interiors_v41.3.4/1_Interiors/16x16/Theme_Sorter_Singles/4_Bedroom_Singles/Bedroom_Singles_377.png")</f>
        <v/>
      </c>
      <c r="C375" s="14"/>
    </row>
    <row r="376" ht="33.75" customHeight="1">
      <c r="A376" s="14" t="s">
        <v>918</v>
      </c>
      <c r="B376" s="14" t="str">
        <f>IMAGE("https://lmztiles.s3.eu-west-1.amazonaws.com/Modern_Interiors_v41.3.4/1_Interiors/16x16/Theme_Sorter_Singles/4_Bedroom_Singles/Bedroom_Singles_378.png")</f>
        <v/>
      </c>
      <c r="C376" s="14"/>
    </row>
    <row r="377" ht="33.75" customHeight="1">
      <c r="A377" s="14" t="s">
        <v>919</v>
      </c>
      <c r="B377" s="14" t="str">
        <f>IMAGE("https://lmztiles.s3.eu-west-1.amazonaws.com/Modern_Interiors_v41.3.4/1_Interiors/16x16/Theme_Sorter_Singles/4_Bedroom_Singles/Bedroom_Singles_379.png")</f>
        <v/>
      </c>
      <c r="C377" s="14"/>
    </row>
    <row r="378" ht="33.75" customHeight="1">
      <c r="A378" s="14" t="s">
        <v>920</v>
      </c>
      <c r="B378" s="14" t="str">
        <f>IMAGE("https://lmztiles.s3.eu-west-1.amazonaws.com/Modern_Interiors_v41.3.4/1_Interiors/16x16/Theme_Sorter_Singles/4_Bedroom_Singles/Bedroom_Singles_380.png")</f>
        <v/>
      </c>
      <c r="C378" s="14"/>
    </row>
    <row r="379" ht="33.75" customHeight="1">
      <c r="A379" s="14" t="s">
        <v>921</v>
      </c>
      <c r="B379" s="14" t="str">
        <f>IMAGE("https://lmztiles.s3.eu-west-1.amazonaws.com/Modern_Interiors_v41.3.4/1_Interiors/16x16/Theme_Sorter_Singles/4_Bedroom_Singles/Bedroom_Singles_381.png")</f>
        <v/>
      </c>
      <c r="C379" s="14"/>
    </row>
    <row r="380" ht="33.75" customHeight="1">
      <c r="A380" s="14" t="s">
        <v>922</v>
      </c>
      <c r="B380" s="14" t="str">
        <f>IMAGE("https://lmztiles.s3.eu-west-1.amazonaws.com/Modern_Interiors_v41.3.4/1_Interiors/16x16/Theme_Sorter_Singles/4_Bedroom_Singles/Bedroom_Singles_382.png")</f>
        <v/>
      </c>
      <c r="C380" s="14"/>
    </row>
    <row r="381" ht="33.75" customHeight="1">
      <c r="A381" s="14" t="s">
        <v>923</v>
      </c>
      <c r="B381" s="14" t="str">
        <f>IMAGE("https://lmztiles.s3.eu-west-1.amazonaws.com/Modern_Interiors_v41.3.4/1_Interiors/16x16/Theme_Sorter_Singles/4_Bedroom_Singles/Bedroom_Singles_383.png")</f>
        <v/>
      </c>
      <c r="C381" s="14"/>
    </row>
    <row r="382" ht="33.75" customHeight="1">
      <c r="A382" s="14" t="s">
        <v>924</v>
      </c>
      <c r="B382" s="14" t="str">
        <f>IMAGE("https://lmztiles.s3.eu-west-1.amazonaws.com/Modern_Interiors_v41.3.4/1_Interiors/16x16/Theme_Sorter_Singles/4_Bedroom_Singles/Bedroom_Singles_384.png")</f>
        <v/>
      </c>
      <c r="C382" s="14"/>
    </row>
    <row r="383" ht="33.75" customHeight="1">
      <c r="A383" s="14" t="s">
        <v>925</v>
      </c>
      <c r="B383" s="14" t="str">
        <f>IMAGE("https://lmztiles.s3.eu-west-1.amazonaws.com/Modern_Interiors_v41.3.4/1_Interiors/16x16/Theme_Sorter_Singles/4_Bedroom_Singles/Bedroom_Singles_385.png")</f>
        <v/>
      </c>
      <c r="C383" s="14"/>
    </row>
    <row r="384" ht="33.75" customHeight="1">
      <c r="A384" s="14" t="s">
        <v>926</v>
      </c>
      <c r="B384" s="14" t="str">
        <f>IMAGE("https://lmztiles.s3.eu-west-1.amazonaws.com/Modern_Interiors_v41.3.4/1_Interiors/16x16/Theme_Sorter_Singles/4_Bedroom_Singles/Bedroom_Singles_386.png")</f>
        <v/>
      </c>
      <c r="C384" s="14"/>
    </row>
    <row r="385" ht="33.75" customHeight="1">
      <c r="A385" s="14" t="s">
        <v>927</v>
      </c>
      <c r="B385" s="14" t="str">
        <f>IMAGE("https://lmztiles.s3.eu-west-1.amazonaws.com/Modern_Interiors_v41.3.4/1_Interiors/16x16/Theme_Sorter_Singles/4_Bedroom_Singles/Bedroom_Singles_387.png")</f>
        <v/>
      </c>
      <c r="C385" s="14"/>
    </row>
    <row r="386" ht="33.75" customHeight="1">
      <c r="A386" s="14" t="s">
        <v>928</v>
      </c>
      <c r="B386" s="14" t="str">
        <f>IMAGE("https://lmztiles.s3.eu-west-1.amazonaws.com/Modern_Interiors_v41.3.4/1_Interiors/16x16/Theme_Sorter_Singles/4_Bedroom_Singles/Bedroom_Singles_388.png")</f>
        <v/>
      </c>
      <c r="C386" s="14"/>
    </row>
    <row r="387" ht="33.75" customHeight="1">
      <c r="A387" s="14" t="s">
        <v>929</v>
      </c>
      <c r="B387" s="14" t="str">
        <f>IMAGE("https://lmztiles.s3.eu-west-1.amazonaws.com/Modern_Interiors_v41.3.4/1_Interiors/16x16/Theme_Sorter_Singles/4_Bedroom_Singles/Bedroom_Singles_389.png")</f>
        <v/>
      </c>
      <c r="C387" s="14"/>
    </row>
    <row r="388" ht="33.75" customHeight="1">
      <c r="A388" s="14" t="s">
        <v>930</v>
      </c>
      <c r="B388" s="14" t="str">
        <f>IMAGE("https://lmztiles.s3.eu-west-1.amazonaws.com/Modern_Interiors_v41.3.4/1_Interiors/16x16/Theme_Sorter_Singles/4_Bedroom_Singles/Bedroom_Singles_390.png")</f>
        <v/>
      </c>
      <c r="C388" s="14"/>
    </row>
    <row r="389" ht="33.75" customHeight="1">
      <c r="A389" s="14" t="s">
        <v>931</v>
      </c>
      <c r="B389" s="14" t="str">
        <f>IMAGE("https://lmztiles.s3.eu-west-1.amazonaws.com/Modern_Interiors_v41.3.4/1_Interiors/16x16/Theme_Sorter_Singles/4_Bedroom_Singles/Bedroom_Singles_391.png")</f>
        <v/>
      </c>
      <c r="C389" s="14"/>
    </row>
    <row r="390" ht="33.75" customHeight="1">
      <c r="A390" s="14" t="s">
        <v>932</v>
      </c>
      <c r="B390" s="14" t="str">
        <f>IMAGE("https://lmztiles.s3.eu-west-1.amazonaws.com/Modern_Interiors_v41.3.4/1_Interiors/16x16/Theme_Sorter_Singles/4_Bedroom_Singles/Bedroom_Singles_392.png")</f>
        <v/>
      </c>
      <c r="C390" s="14"/>
    </row>
    <row r="391" ht="33.75" customHeight="1">
      <c r="A391" s="14" t="s">
        <v>933</v>
      </c>
      <c r="B391" s="14" t="str">
        <f>IMAGE("https://lmztiles.s3.eu-west-1.amazonaws.com/Modern_Interiors_v41.3.4/1_Interiors/16x16/Theme_Sorter_Singles/4_Bedroom_Singles/Bedroom_Singles_393.png")</f>
        <v/>
      </c>
      <c r="C391" s="14"/>
    </row>
    <row r="392" ht="33.75" customHeight="1">
      <c r="A392" s="14" t="s">
        <v>934</v>
      </c>
      <c r="B392" s="14" t="str">
        <f>IMAGE("https://lmztiles.s3.eu-west-1.amazonaws.com/Modern_Interiors_v41.3.4/1_Interiors/16x16/Theme_Sorter_Singles/4_Bedroom_Singles/Bedroom_Singles_394.png")</f>
        <v/>
      </c>
      <c r="C392" s="14"/>
    </row>
    <row r="393" ht="33.75" customHeight="1">
      <c r="A393" s="14" t="s">
        <v>935</v>
      </c>
      <c r="B393" s="14" t="str">
        <f>IMAGE("https://lmztiles.s3.eu-west-1.amazonaws.com/Modern_Interiors_v41.3.4/1_Interiors/16x16/Theme_Sorter_Singles/4_Bedroom_Singles/Bedroom_Singles_395.png")</f>
        <v/>
      </c>
      <c r="C393" s="14"/>
    </row>
    <row r="394" ht="33.75" customHeight="1">
      <c r="A394" s="14" t="s">
        <v>936</v>
      </c>
      <c r="B394" s="14" t="str">
        <f>IMAGE("https://lmztiles.s3.eu-west-1.amazonaws.com/Modern_Interiors_v41.3.4/1_Interiors/16x16/Theme_Sorter_Singles/4_Bedroom_Singles/Bedroom_Singles_396.png")</f>
        <v/>
      </c>
      <c r="C394" s="14"/>
    </row>
    <row r="395" ht="33.75" customHeight="1">
      <c r="A395" s="14" t="s">
        <v>937</v>
      </c>
      <c r="B395" s="14" t="str">
        <f>IMAGE("https://lmztiles.s3.eu-west-1.amazonaws.com/Modern_Interiors_v41.3.4/1_Interiors/16x16/Theme_Sorter_Singles/4_Bedroom_Singles/Bedroom_Singles_397.png")</f>
        <v/>
      </c>
      <c r="C395" s="14"/>
    </row>
    <row r="396" ht="33.75" customHeight="1">
      <c r="A396" s="14" t="s">
        <v>938</v>
      </c>
      <c r="B396" s="14" t="str">
        <f>IMAGE("https://lmztiles.s3.eu-west-1.amazonaws.com/Modern_Interiors_v41.3.4/1_Interiors/16x16/Theme_Sorter_Singles/4_Bedroom_Singles/Bedroom_Singles_398.png")</f>
        <v/>
      </c>
      <c r="C396" s="14"/>
    </row>
    <row r="397" ht="33.75" customHeight="1">
      <c r="A397" s="14" t="s">
        <v>939</v>
      </c>
      <c r="B397" s="14" t="str">
        <f>IMAGE("https://lmztiles.s3.eu-west-1.amazonaws.com/Modern_Interiors_v41.3.4/1_Interiors/16x16/Theme_Sorter_Singles/4_Bedroom_Singles/Bedroom_Singles_399.png")</f>
        <v/>
      </c>
      <c r="C397" s="14"/>
    </row>
    <row r="398" ht="33.75" customHeight="1">
      <c r="A398" s="14" t="s">
        <v>940</v>
      </c>
      <c r="B398" s="14" t="str">
        <f>IMAGE("https://lmztiles.s3.eu-west-1.amazonaws.com/Modern_Interiors_v41.3.4/1_Interiors/16x16/Theme_Sorter_Singles/4_Bedroom_Singles/Bedroom_Singles_400.png")</f>
        <v/>
      </c>
      <c r="C398" s="14"/>
    </row>
    <row r="399" ht="33.75" customHeight="1">
      <c r="A399" s="14" t="s">
        <v>941</v>
      </c>
      <c r="B399" s="14" t="str">
        <f>IMAGE("https://lmztiles.s3.eu-west-1.amazonaws.com/Modern_Interiors_v41.3.4/1_Interiors/16x16/Theme_Sorter_Singles/4_Bedroom_Singles/Bedroom_Singles_401.png")</f>
        <v/>
      </c>
      <c r="C399" s="14"/>
    </row>
    <row r="400" ht="33.75" customHeight="1">
      <c r="A400" s="14" t="s">
        <v>942</v>
      </c>
      <c r="B400" s="14" t="str">
        <f>IMAGE("https://lmztiles.s3.eu-west-1.amazonaws.com/Modern_Interiors_v41.3.4/1_Interiors/16x16/Theme_Sorter_Singles/4_Bedroom_Singles/Bedroom_Singles_402.png")</f>
        <v/>
      </c>
      <c r="C400" s="14"/>
    </row>
    <row r="401" ht="33.75" customHeight="1">
      <c r="A401" s="14" t="s">
        <v>943</v>
      </c>
      <c r="B401" s="14" t="str">
        <f>IMAGE("https://lmztiles.s3.eu-west-1.amazonaws.com/Modern_Interiors_v41.3.4/1_Interiors/16x16/Theme_Sorter_Singles/4_Bedroom_Singles/Bedroom_Singles_403.png")</f>
        <v/>
      </c>
      <c r="C401" s="14"/>
    </row>
    <row r="402" ht="33.75" customHeight="1">
      <c r="A402" s="14" t="s">
        <v>944</v>
      </c>
      <c r="B402" s="14" t="str">
        <f>IMAGE("https://lmztiles.s3.eu-west-1.amazonaws.com/Modern_Interiors_v41.3.4/1_Interiors/16x16/Theme_Sorter_Singles/4_Bedroom_Singles/Bedroom_Singles_404.png")</f>
        <v/>
      </c>
      <c r="C402" s="14"/>
    </row>
    <row r="403" ht="33.75" customHeight="1">
      <c r="A403" s="14" t="s">
        <v>945</v>
      </c>
      <c r="B403" s="14" t="str">
        <f>IMAGE("https://lmztiles.s3.eu-west-1.amazonaws.com/Modern_Interiors_v41.3.4/1_Interiors/16x16/Theme_Sorter_Singles/4_Bedroom_Singles/Bedroom_Singles_405.png")</f>
        <v/>
      </c>
      <c r="C403" s="14"/>
    </row>
    <row r="404" ht="33.75" customHeight="1">
      <c r="A404" s="14" t="s">
        <v>946</v>
      </c>
      <c r="B404" s="14" t="str">
        <f>IMAGE("https://lmztiles.s3.eu-west-1.amazonaws.com/Modern_Interiors_v41.3.4/1_Interiors/16x16/Theme_Sorter_Singles/4_Bedroom_Singles/Bedroom_Singles_406.png")</f>
        <v/>
      </c>
      <c r="C404" s="14"/>
    </row>
    <row r="405" ht="33.75" customHeight="1">
      <c r="A405" s="14" t="s">
        <v>947</v>
      </c>
      <c r="B405" s="14" t="str">
        <f>IMAGE("https://lmztiles.s3.eu-west-1.amazonaws.com/Modern_Interiors_v41.3.4/1_Interiors/16x16/Theme_Sorter_Singles/4_Bedroom_Singles/Bedroom_Singles_407.png")</f>
        <v/>
      </c>
      <c r="C405" s="14"/>
    </row>
    <row r="406" ht="33.75" customHeight="1">
      <c r="A406" s="14" t="s">
        <v>948</v>
      </c>
      <c r="B406" s="14" t="str">
        <f>IMAGE("https://lmztiles.s3.eu-west-1.amazonaws.com/Modern_Interiors_v41.3.4/1_Interiors/16x16/Theme_Sorter_Singles/4_Bedroom_Singles/Bedroom_Singles_408.png")</f>
        <v/>
      </c>
      <c r="C406" s="14"/>
    </row>
    <row r="407" ht="33.75" customHeight="1">
      <c r="A407" s="14" t="s">
        <v>949</v>
      </c>
      <c r="B407" s="14" t="str">
        <f>IMAGE("https://lmztiles.s3.eu-west-1.amazonaws.com/Modern_Interiors_v41.3.4/1_Interiors/16x16/Theme_Sorter_Singles/4_Bedroom_Singles/Bedroom_Singles_409.png")</f>
        <v/>
      </c>
      <c r="C407" s="14"/>
    </row>
    <row r="408" ht="33.75" customHeight="1">
      <c r="A408" s="14" t="s">
        <v>950</v>
      </c>
      <c r="B408" s="14" t="str">
        <f>IMAGE("https://lmztiles.s3.eu-west-1.amazonaws.com/Modern_Interiors_v41.3.4/1_Interiors/16x16/Theme_Sorter_Singles/4_Bedroom_Singles/Bedroom_Singles_410.png")</f>
        <v/>
      </c>
      <c r="C408" s="14"/>
    </row>
    <row r="409" ht="33.75" customHeight="1">
      <c r="A409" s="14" t="s">
        <v>951</v>
      </c>
      <c r="B409" s="14" t="str">
        <f>IMAGE("https://lmztiles.s3.eu-west-1.amazonaws.com/Modern_Interiors_v41.3.4/1_Interiors/16x16/Theme_Sorter_Singles/4_Bedroom_Singles/Bedroom_Singles_411.png")</f>
        <v/>
      </c>
      <c r="C409" s="14"/>
    </row>
    <row r="410" ht="33.75" customHeight="1">
      <c r="A410" s="14" t="s">
        <v>952</v>
      </c>
      <c r="B410" s="14" t="str">
        <f>IMAGE("https://lmztiles.s3.eu-west-1.amazonaws.com/Modern_Interiors_v41.3.4/1_Interiors/16x16/Theme_Sorter_Singles/4_Bedroom_Singles/Bedroom_Singles_412.png")</f>
        <v/>
      </c>
      <c r="C410" s="14"/>
    </row>
    <row r="411" ht="33.75" customHeight="1">
      <c r="A411" s="14" t="s">
        <v>953</v>
      </c>
      <c r="B411" s="14" t="str">
        <f>IMAGE("https://lmztiles.s3.eu-west-1.amazonaws.com/Modern_Interiors_v41.3.4/1_Interiors/16x16/Theme_Sorter_Singles/4_Bedroom_Singles/Bedroom_Singles_413.png")</f>
        <v/>
      </c>
      <c r="C411" s="14"/>
    </row>
    <row r="412" ht="33.75" customHeight="1">
      <c r="A412" s="14" t="s">
        <v>954</v>
      </c>
      <c r="B412" s="14" t="str">
        <f>IMAGE("https://lmztiles.s3.eu-west-1.amazonaws.com/Modern_Interiors_v41.3.4/1_Interiors/16x16/Theme_Sorter_Singles/4_Bedroom_Singles/Bedroom_Singles_414.png")</f>
        <v/>
      </c>
      <c r="C412" s="14"/>
    </row>
    <row r="413" ht="33.75" customHeight="1">
      <c r="A413" s="14" t="s">
        <v>955</v>
      </c>
      <c r="B413" s="14" t="str">
        <f>IMAGE("https://lmztiles.s3.eu-west-1.amazonaws.com/Modern_Interiors_v41.3.4/1_Interiors/16x16/Theme_Sorter_Singles/4_Bedroom_Singles/Bedroom_Singles_415.png")</f>
        <v/>
      </c>
      <c r="C413" s="14"/>
    </row>
    <row r="414" ht="33.75" customHeight="1">
      <c r="A414" s="14" t="s">
        <v>956</v>
      </c>
      <c r="B414" s="14" t="str">
        <f>IMAGE("https://lmztiles.s3.eu-west-1.amazonaws.com/Modern_Interiors_v41.3.4/1_Interiors/16x16/Theme_Sorter_Singles/4_Bedroom_Singles/Bedroom_Singles_416.png")</f>
        <v/>
      </c>
      <c r="C414" s="14"/>
    </row>
    <row r="415" ht="33.75" customHeight="1">
      <c r="A415" s="14" t="s">
        <v>957</v>
      </c>
      <c r="B415" s="14" t="str">
        <f>IMAGE("https://lmztiles.s3.eu-west-1.amazonaws.com/Modern_Interiors_v41.3.4/1_Interiors/16x16/Theme_Sorter_Singles/4_Bedroom_Singles/Bedroom_Singles_417.png")</f>
        <v/>
      </c>
      <c r="C415" s="14"/>
    </row>
    <row r="416" ht="33.75" customHeight="1">
      <c r="A416" s="14" t="s">
        <v>958</v>
      </c>
      <c r="B416" s="14" t="str">
        <f>IMAGE("https://lmztiles.s3.eu-west-1.amazonaws.com/Modern_Interiors_v41.3.4/1_Interiors/16x16/Theme_Sorter_Singles/4_Bedroom_Singles/Bedroom_Singles_418.png")</f>
        <v/>
      </c>
      <c r="C416" s="14"/>
    </row>
    <row r="417" ht="33.75" customHeight="1">
      <c r="A417" s="14" t="s">
        <v>959</v>
      </c>
      <c r="B417" s="14" t="str">
        <f>IMAGE("https://lmztiles.s3.eu-west-1.amazonaws.com/Modern_Interiors_v41.3.4/1_Interiors/16x16/Theme_Sorter_Singles/4_Bedroom_Singles/Bedroom_Singles_419.png")</f>
        <v/>
      </c>
      <c r="C417" s="14"/>
    </row>
    <row r="418" ht="33.75" customHeight="1">
      <c r="A418" s="14" t="s">
        <v>960</v>
      </c>
      <c r="B418" s="14" t="str">
        <f>IMAGE("https://lmztiles.s3.eu-west-1.amazonaws.com/Modern_Interiors_v41.3.4/1_Interiors/16x16/Theme_Sorter_Singles/4_Bedroom_Singles/Bedroom_Singles_420.png")</f>
        <v/>
      </c>
      <c r="C418" s="14"/>
    </row>
    <row r="419" ht="33.75" customHeight="1">
      <c r="A419" s="14" t="s">
        <v>961</v>
      </c>
      <c r="B419" s="14" t="str">
        <f>IMAGE("https://lmztiles.s3.eu-west-1.amazonaws.com/Modern_Interiors_v41.3.4/1_Interiors/16x16/Theme_Sorter_Singles/4_Bedroom_Singles/Bedroom_Singles_421.png")</f>
        <v/>
      </c>
      <c r="C419" s="14"/>
    </row>
    <row r="420" ht="33.75" customHeight="1">
      <c r="A420" s="14" t="s">
        <v>962</v>
      </c>
      <c r="B420" s="14" t="str">
        <f>IMAGE("https://lmztiles.s3.eu-west-1.amazonaws.com/Modern_Interiors_v41.3.4/1_Interiors/16x16/Theme_Sorter_Singles/4_Bedroom_Singles/Bedroom_Singles_422.png")</f>
        <v/>
      </c>
      <c r="C420" s="14"/>
    </row>
    <row r="421" ht="33.75" customHeight="1">
      <c r="A421" s="14" t="s">
        <v>963</v>
      </c>
      <c r="B421" s="14" t="str">
        <f>IMAGE("https://lmztiles.s3.eu-west-1.amazonaws.com/Modern_Interiors_v41.3.4/1_Interiors/16x16/Theme_Sorter_Singles/4_Bedroom_Singles/Bedroom_Singles_423.png")</f>
        <v/>
      </c>
      <c r="C421" s="14"/>
    </row>
    <row r="422" ht="33.75" customHeight="1">
      <c r="A422" s="14" t="s">
        <v>964</v>
      </c>
      <c r="B422" s="14" t="str">
        <f>IMAGE("https://lmztiles.s3.eu-west-1.amazonaws.com/Modern_Interiors_v41.3.4/1_Interiors/16x16/Theme_Sorter_Singles/4_Bedroom_Singles/Bedroom_Singles_424.png")</f>
        <v/>
      </c>
      <c r="C422" s="14"/>
    </row>
    <row r="423" ht="33.75" customHeight="1">
      <c r="A423" s="14" t="s">
        <v>965</v>
      </c>
      <c r="B423" s="14" t="str">
        <f>IMAGE("https://lmztiles.s3.eu-west-1.amazonaws.com/Modern_Interiors_v41.3.4/1_Interiors/16x16/Theme_Sorter_Singles/4_Bedroom_Singles/Bedroom_Singles_425.png")</f>
        <v/>
      </c>
      <c r="C423" s="14"/>
    </row>
    <row r="424" ht="33.75" customHeight="1">
      <c r="A424" s="14" t="s">
        <v>966</v>
      </c>
      <c r="B424" s="14" t="str">
        <f>IMAGE("https://lmztiles.s3.eu-west-1.amazonaws.com/Modern_Interiors_v41.3.4/1_Interiors/16x16/Theme_Sorter_Singles/4_Bedroom_Singles/Bedroom_Singles_426.png")</f>
        <v/>
      </c>
      <c r="C424" s="14"/>
    </row>
    <row r="425" ht="33.75" customHeight="1">
      <c r="A425" s="14" t="s">
        <v>967</v>
      </c>
      <c r="B425" s="14" t="str">
        <f>IMAGE("https://lmztiles.s3.eu-west-1.amazonaws.com/Modern_Interiors_v41.3.4/1_Interiors/16x16/Theme_Sorter_Singles/4_Bedroom_Singles/Bedroom_Singles_427.png")</f>
        <v/>
      </c>
      <c r="C425" s="14"/>
    </row>
    <row r="426" ht="33.75" customHeight="1">
      <c r="A426" s="14" t="s">
        <v>968</v>
      </c>
      <c r="B426" s="14" t="str">
        <f>IMAGE("https://lmztiles.s3.eu-west-1.amazonaws.com/Modern_Interiors_v41.3.4/1_Interiors/16x16/Theme_Sorter_Singles/4_Bedroom_Singles/Bedroom_Singles_428.png")</f>
        <v/>
      </c>
      <c r="C426" s="14"/>
    </row>
    <row r="427" ht="33.75" customHeight="1">
      <c r="A427" s="14" t="s">
        <v>969</v>
      </c>
      <c r="B427" s="14" t="str">
        <f>IMAGE("https://lmztiles.s3.eu-west-1.amazonaws.com/Modern_Interiors_v41.3.4/1_Interiors/16x16/Theme_Sorter_Singles/4_Bedroom_Singles/Bedroom_Singles_429.png")</f>
        <v/>
      </c>
      <c r="C427" s="14"/>
    </row>
    <row r="428" ht="33.75" customHeight="1">
      <c r="A428" s="14" t="s">
        <v>970</v>
      </c>
      <c r="B428" s="14" t="str">
        <f>IMAGE("https://lmztiles.s3.eu-west-1.amazonaws.com/Modern_Interiors_v41.3.4/1_Interiors/16x16/Theme_Sorter_Singles/4_Bedroom_Singles/Bedroom_Singles_430.png")</f>
        <v/>
      </c>
      <c r="C428" s="14"/>
    </row>
    <row r="429" ht="33.75" customHeight="1">
      <c r="A429" s="14" t="s">
        <v>971</v>
      </c>
      <c r="B429" s="14" t="str">
        <f>IMAGE("https://lmztiles.s3.eu-west-1.amazonaws.com/Modern_Interiors_v41.3.4/1_Interiors/16x16/Theme_Sorter_Singles/4_Bedroom_Singles/Bedroom_Singles_431.png")</f>
        <v/>
      </c>
      <c r="C429" s="14"/>
    </row>
    <row r="430" ht="33.75" customHeight="1">
      <c r="A430" s="14" t="s">
        <v>972</v>
      </c>
      <c r="B430" s="14" t="str">
        <f>IMAGE("https://lmztiles.s3.eu-west-1.amazonaws.com/Modern_Interiors_v41.3.4/1_Interiors/16x16/Theme_Sorter_Singles/4_Bedroom_Singles/Bedroom_Singles_432.png")</f>
        <v/>
      </c>
      <c r="C430" s="14"/>
    </row>
    <row r="431" ht="33.75" customHeight="1">
      <c r="A431" s="14" t="s">
        <v>973</v>
      </c>
      <c r="B431" s="14" t="str">
        <f>IMAGE("https://lmztiles.s3.eu-west-1.amazonaws.com/Modern_Interiors_v41.3.4/1_Interiors/16x16/Theme_Sorter_Singles/4_Bedroom_Singles/Bedroom_Singles_433.png")</f>
        <v/>
      </c>
      <c r="C431" s="14"/>
    </row>
    <row r="432" ht="33.75" customHeight="1">
      <c r="A432" s="14" t="s">
        <v>974</v>
      </c>
      <c r="B432" s="14" t="str">
        <f>IMAGE("https://lmztiles.s3.eu-west-1.amazonaws.com/Modern_Interiors_v41.3.4/1_Interiors/16x16/Theme_Sorter_Singles/4_Bedroom_Singles/Bedroom_Singles_434.png")</f>
        <v/>
      </c>
      <c r="C432" s="14"/>
    </row>
    <row r="433" ht="33.75" customHeight="1">
      <c r="A433" s="14" t="s">
        <v>975</v>
      </c>
      <c r="B433" s="14" t="str">
        <f>IMAGE("https://lmztiles.s3.eu-west-1.amazonaws.com/Modern_Interiors_v41.3.4/1_Interiors/16x16/Theme_Sorter_Singles/4_Bedroom_Singles/Bedroom_Singles_435.png")</f>
        <v/>
      </c>
      <c r="C433" s="14"/>
    </row>
    <row r="434" ht="33.75" customHeight="1">
      <c r="A434" s="14" t="s">
        <v>976</v>
      </c>
      <c r="B434" s="14" t="str">
        <f>IMAGE("https://lmztiles.s3.eu-west-1.amazonaws.com/Modern_Interiors_v41.3.4/1_Interiors/16x16/Theme_Sorter_Singles/4_Bedroom_Singles/Bedroom_Singles_436.png")</f>
        <v/>
      </c>
      <c r="C434" s="14"/>
    </row>
    <row r="435" ht="33.75" customHeight="1">
      <c r="A435" s="14" t="s">
        <v>977</v>
      </c>
      <c r="B435" s="14" t="str">
        <f>IMAGE("https://lmztiles.s3.eu-west-1.amazonaws.com/Modern_Interiors_v41.3.4/1_Interiors/16x16/Theme_Sorter_Singles/4_Bedroom_Singles/Bedroom_Singles_437.png")</f>
        <v/>
      </c>
      <c r="C435" s="14"/>
    </row>
    <row r="436" ht="33.75" customHeight="1">
      <c r="A436" s="14" t="s">
        <v>978</v>
      </c>
      <c r="B436" s="14" t="str">
        <f>IMAGE("https://lmztiles.s3.eu-west-1.amazonaws.com/Modern_Interiors_v41.3.4/1_Interiors/16x16/Theme_Sorter_Singles/4_Bedroom_Singles/Bedroom_Singles_438.png")</f>
        <v/>
      </c>
      <c r="C436" s="14"/>
    </row>
    <row r="437" ht="33.75" customHeight="1">
      <c r="A437" s="14" t="s">
        <v>979</v>
      </c>
      <c r="B437" s="14" t="str">
        <f>IMAGE("https://lmztiles.s3.eu-west-1.amazonaws.com/Modern_Interiors_v41.3.4/1_Interiors/16x16/Theme_Sorter_Singles/4_Bedroom_Singles/Bedroom_Singles_439.png")</f>
        <v/>
      </c>
      <c r="C437" s="14"/>
    </row>
    <row r="438" ht="33.75" customHeight="1">
      <c r="A438" s="14" t="s">
        <v>980</v>
      </c>
      <c r="B438" s="14" t="str">
        <f>IMAGE("https://lmztiles.s3.eu-west-1.amazonaws.com/Modern_Interiors_v41.3.4/1_Interiors/16x16/Theme_Sorter_Singles/4_Bedroom_Singles/Bedroom_Singles_440.png")</f>
        <v/>
      </c>
      <c r="C438" s="14"/>
    </row>
    <row r="439" ht="33.75" customHeight="1">
      <c r="A439" s="14" t="s">
        <v>981</v>
      </c>
      <c r="B439" s="14" t="str">
        <f>IMAGE("https://lmztiles.s3.eu-west-1.amazonaws.com/Modern_Interiors_v41.3.4/1_Interiors/16x16/Theme_Sorter_Singles/4_Bedroom_Singles/Bedroom_Singles_441.png")</f>
        <v/>
      </c>
      <c r="C439" s="14"/>
    </row>
    <row r="440" ht="33.75" customHeight="1">
      <c r="A440" s="14" t="s">
        <v>982</v>
      </c>
      <c r="B440" s="14" t="str">
        <f>IMAGE("https://lmztiles.s3.eu-west-1.amazonaws.com/Modern_Interiors_v41.3.4/1_Interiors/16x16/Theme_Sorter_Singles/4_Bedroom_Singles/Bedroom_Singles_442.png")</f>
        <v/>
      </c>
      <c r="C440" s="14"/>
    </row>
    <row r="441" ht="33.75" customHeight="1">
      <c r="A441" s="14" t="s">
        <v>983</v>
      </c>
      <c r="B441" s="14" t="str">
        <f>IMAGE("https://lmztiles.s3.eu-west-1.amazonaws.com/Modern_Interiors_v41.3.4/1_Interiors/16x16/Theme_Sorter_Singles/4_Bedroom_Singles/Bedroom_Singles_443.png")</f>
        <v/>
      </c>
      <c r="C441" s="14"/>
    </row>
    <row r="442" ht="33.75" customHeight="1">
      <c r="A442" s="14" t="s">
        <v>984</v>
      </c>
      <c r="B442" s="14" t="str">
        <f>IMAGE("https://lmztiles.s3.eu-west-1.amazonaws.com/Modern_Interiors_v41.3.4/1_Interiors/16x16/Theme_Sorter_Singles/4_Bedroom_Singles/Bedroom_Singles_444.png")</f>
        <v/>
      </c>
      <c r="C442" s="14"/>
    </row>
    <row r="443" ht="33.75" customHeight="1">
      <c r="A443" s="14" t="s">
        <v>985</v>
      </c>
      <c r="B443" s="14" t="str">
        <f>IMAGE("https://lmztiles.s3.eu-west-1.amazonaws.com/Modern_Interiors_v41.3.4/1_Interiors/16x16/Theme_Sorter_Singles/4_Bedroom_Singles/Bedroom_Singles_445.png")</f>
        <v/>
      </c>
      <c r="C443" s="14"/>
    </row>
    <row r="444" ht="33.75" customHeight="1">
      <c r="A444" s="14" t="s">
        <v>986</v>
      </c>
      <c r="B444" s="14" t="str">
        <f>IMAGE("https://lmztiles.s3.eu-west-1.amazonaws.com/Modern_Interiors_v41.3.4/1_Interiors/16x16/Theme_Sorter_Singles/4_Bedroom_Singles/Bedroom_Singles_446.png")</f>
        <v/>
      </c>
      <c r="C444" s="14"/>
    </row>
    <row r="445" ht="33.75" customHeight="1">
      <c r="A445" s="14" t="s">
        <v>987</v>
      </c>
      <c r="B445" s="14" t="str">
        <f>IMAGE("https://lmztiles.s3.eu-west-1.amazonaws.com/Modern_Interiors_v41.3.4/1_Interiors/16x16/Theme_Sorter_Singles/4_Bedroom_Singles/Bedroom_Singles_447.png")</f>
        <v/>
      </c>
      <c r="C445" s="14"/>
    </row>
    <row r="446" ht="33.75" customHeight="1">
      <c r="A446" s="14" t="s">
        <v>988</v>
      </c>
      <c r="B446" s="14" t="str">
        <f>IMAGE("https://lmztiles.s3.eu-west-1.amazonaws.com/Modern_Interiors_v41.3.4/1_Interiors/16x16/Theme_Sorter_Singles/4_Bedroom_Singles/Bedroom_Singles_448.png")</f>
        <v/>
      </c>
      <c r="C446" s="14"/>
    </row>
    <row r="447" ht="33.75" customHeight="1">
      <c r="A447" s="14" t="s">
        <v>989</v>
      </c>
      <c r="B447" s="14" t="str">
        <f>IMAGE("https://lmztiles.s3.eu-west-1.amazonaws.com/Modern_Interiors_v41.3.4/1_Interiors/16x16/Theme_Sorter_Singles/4_Bedroom_Singles/Bedroom_Singles_449.png")</f>
        <v/>
      </c>
      <c r="C447" s="14"/>
    </row>
    <row r="448" ht="33.75" customHeight="1">
      <c r="A448" s="14" t="s">
        <v>990</v>
      </c>
      <c r="B448" s="14" t="str">
        <f>IMAGE("https://lmztiles.s3.eu-west-1.amazonaws.com/Modern_Interiors_v41.3.4/1_Interiors/16x16/Theme_Sorter_Singles/4_Bedroom_Singles/Bedroom_Singles_450.png")</f>
        <v/>
      </c>
      <c r="C448" s="14"/>
    </row>
    <row r="449" ht="33.75" customHeight="1">
      <c r="A449" s="14" t="s">
        <v>991</v>
      </c>
      <c r="B449" s="14" t="str">
        <f>IMAGE("https://lmztiles.s3.eu-west-1.amazonaws.com/Modern_Interiors_v41.3.4/1_Interiors/16x16/Theme_Sorter_Singles/4_Bedroom_Singles/Bedroom_Singles_451.png")</f>
        <v/>
      </c>
      <c r="C449" s="14"/>
    </row>
    <row r="450" ht="33.75" customHeight="1">
      <c r="A450" s="14" t="s">
        <v>992</v>
      </c>
      <c r="B450" s="14" t="str">
        <f>IMAGE("https://lmztiles.s3.eu-west-1.amazonaws.com/Modern_Interiors_v41.3.4/1_Interiors/16x16/Theme_Sorter_Singles/4_Bedroom_Singles/Bedroom_Singles_452.png")</f>
        <v/>
      </c>
      <c r="C450" s="14"/>
    </row>
    <row r="451" ht="33.75" customHeight="1">
      <c r="A451" s="14" t="s">
        <v>993</v>
      </c>
      <c r="B451" s="14" t="str">
        <f>IMAGE("https://lmztiles.s3.eu-west-1.amazonaws.com/Modern_Interiors_v41.3.4/1_Interiors/16x16/Theme_Sorter_Singles/4_Bedroom_Singles/Bedroom_Singles_453.png")</f>
        <v/>
      </c>
      <c r="C451" s="14"/>
    </row>
    <row r="452" ht="33.75" customHeight="1">
      <c r="A452" s="14" t="s">
        <v>994</v>
      </c>
      <c r="B452" s="14" t="str">
        <f>IMAGE("https://lmztiles.s3.eu-west-1.amazonaws.com/Modern_Interiors_v41.3.4/1_Interiors/16x16/Theme_Sorter_Singles/4_Bedroom_Singles/Bedroom_Singles_454.png")</f>
        <v/>
      </c>
      <c r="C452" s="14"/>
    </row>
    <row r="453" ht="33.75" customHeight="1">
      <c r="A453" s="14" t="s">
        <v>995</v>
      </c>
      <c r="B453" s="14" t="str">
        <f>IMAGE("https://lmztiles.s3.eu-west-1.amazonaws.com/Modern_Interiors_v41.3.4/1_Interiors/16x16/Theme_Sorter_Singles/4_Bedroom_Singles/Bedroom_Singles_455.png")</f>
        <v/>
      </c>
      <c r="C453" s="14"/>
    </row>
    <row r="454" ht="33.75" customHeight="1">
      <c r="A454" s="14" t="s">
        <v>996</v>
      </c>
      <c r="B454" s="14" t="str">
        <f>IMAGE("https://lmztiles.s3.eu-west-1.amazonaws.com/Modern_Interiors_v41.3.4/1_Interiors/16x16/Theme_Sorter_Singles/4_Bedroom_Singles/Bedroom_Singles_456.png")</f>
        <v/>
      </c>
      <c r="C454" s="14"/>
    </row>
    <row r="455" ht="33.75" customHeight="1">
      <c r="A455" s="14" t="s">
        <v>997</v>
      </c>
      <c r="B455" s="14" t="str">
        <f>IMAGE("https://lmztiles.s3.eu-west-1.amazonaws.com/Modern_Interiors_v41.3.4/1_Interiors/16x16/Theme_Sorter_Singles/4_Bedroom_Singles/Bedroom_Singles_457.png")</f>
        <v/>
      </c>
      <c r="C455" s="14"/>
    </row>
    <row r="456" ht="33.75" customHeight="1">
      <c r="A456" s="14" t="s">
        <v>998</v>
      </c>
      <c r="B456" s="14" t="str">
        <f>IMAGE("https://lmztiles.s3.eu-west-1.amazonaws.com/Modern_Interiors_v41.3.4/1_Interiors/16x16/Theme_Sorter_Singles/4_Bedroom_Singles/Bedroom_Singles_458.png")</f>
        <v/>
      </c>
      <c r="C456" s="14"/>
    </row>
    <row r="457" ht="33.75" customHeight="1">
      <c r="A457" s="14" t="s">
        <v>999</v>
      </c>
      <c r="B457" s="14" t="str">
        <f>IMAGE("https://lmztiles.s3.eu-west-1.amazonaws.com/Modern_Interiors_v41.3.4/1_Interiors/16x16/Theme_Sorter_Singles/4_Bedroom_Singles/Bedroom_Singles_459.png")</f>
        <v/>
      </c>
      <c r="C457" s="14"/>
    </row>
    <row r="458" ht="33.75" customHeight="1">
      <c r="A458" s="14" t="s">
        <v>1000</v>
      </c>
      <c r="B458" s="14" t="str">
        <f>IMAGE("https://lmztiles.s3.eu-west-1.amazonaws.com/Modern_Interiors_v41.3.4/1_Interiors/16x16/Theme_Sorter_Singles/4_Bedroom_Singles/Bedroom_Singles_460.png")</f>
        <v/>
      </c>
      <c r="C458" s="14"/>
    </row>
    <row r="459" ht="33.75" customHeight="1">
      <c r="A459" s="14" t="s">
        <v>1001</v>
      </c>
      <c r="B459" s="14" t="str">
        <f>IMAGE("https://lmztiles.s3.eu-west-1.amazonaws.com/Modern_Interiors_v41.3.4/1_Interiors/16x16/Theme_Sorter_Singles/4_Bedroom_Singles/Bedroom_Singles_461.png")</f>
        <v/>
      </c>
      <c r="C459" s="14"/>
    </row>
    <row r="460" ht="33.75" customHeight="1">
      <c r="A460" s="14" t="s">
        <v>1002</v>
      </c>
      <c r="B460" s="14" t="str">
        <f>IMAGE("https://lmztiles.s3.eu-west-1.amazonaws.com/Modern_Interiors_v41.3.4/1_Interiors/16x16/Theme_Sorter_Singles/4_Bedroom_Singles/Bedroom_Singles_462.png")</f>
        <v/>
      </c>
      <c r="C460" s="14"/>
    </row>
    <row r="461" ht="33.75" customHeight="1">
      <c r="A461" s="14" t="s">
        <v>1003</v>
      </c>
      <c r="B461" s="14" t="str">
        <f>IMAGE("https://lmztiles.s3.eu-west-1.amazonaws.com/Modern_Interiors_v41.3.4/1_Interiors/16x16/Theme_Sorter_Singles/4_Bedroom_Singles/Bedroom_Singles_463.png")</f>
        <v/>
      </c>
      <c r="C461" s="14"/>
    </row>
    <row r="462" ht="33.75" customHeight="1">
      <c r="A462" s="14" t="s">
        <v>1004</v>
      </c>
      <c r="B462" s="14" t="str">
        <f>IMAGE("https://lmztiles.s3.eu-west-1.amazonaws.com/Modern_Interiors_v41.3.4/1_Interiors/16x16/Theme_Sorter_Singles/4_Bedroom_Singles/Bedroom_Singles_464.png")</f>
        <v/>
      </c>
      <c r="C462" s="14"/>
    </row>
    <row r="463" ht="33.75" customHeight="1">
      <c r="A463" s="14" t="s">
        <v>1005</v>
      </c>
      <c r="B463" s="14" t="str">
        <f>IMAGE("https://lmztiles.s3.eu-west-1.amazonaws.com/Modern_Interiors_v41.3.4/1_Interiors/16x16/Theme_Sorter_Singles/4_Bedroom_Singles/Bedroom_Singles_465.png")</f>
        <v/>
      </c>
      <c r="C463" s="14"/>
    </row>
    <row r="464" ht="33.75" customHeight="1">
      <c r="A464" s="14" t="s">
        <v>1006</v>
      </c>
      <c r="B464" s="14" t="str">
        <f>IMAGE("https://lmztiles.s3.eu-west-1.amazonaws.com/Modern_Interiors_v41.3.4/1_Interiors/16x16/Theme_Sorter_Singles/4_Bedroom_Singles/Bedroom_Singles_466.png")</f>
        <v/>
      </c>
      <c r="C464" s="14"/>
    </row>
    <row r="465" ht="33.75" customHeight="1">
      <c r="A465" s="14" t="s">
        <v>1007</v>
      </c>
      <c r="B465" s="14" t="str">
        <f>IMAGE("https://lmztiles.s3.eu-west-1.amazonaws.com/Modern_Interiors_v41.3.4/1_Interiors/16x16/Theme_Sorter_Singles/4_Bedroom_Singles/Bedroom_Singles_467.png")</f>
        <v/>
      </c>
      <c r="C465" s="14"/>
    </row>
    <row r="466" ht="33.75" customHeight="1">
      <c r="A466" s="14" t="s">
        <v>1008</v>
      </c>
      <c r="B466" s="14" t="str">
        <f>IMAGE("https://lmztiles.s3.eu-west-1.amazonaws.com/Modern_Interiors_v41.3.4/1_Interiors/16x16/Theme_Sorter_Singles/4_Bedroom_Singles/Bedroom_Singles_468.png")</f>
        <v/>
      </c>
      <c r="C466" s="14"/>
    </row>
    <row r="467" ht="33.75" customHeight="1">
      <c r="A467" s="14" t="s">
        <v>1009</v>
      </c>
      <c r="B467" s="14" t="str">
        <f>IMAGE("https://lmztiles.s3.eu-west-1.amazonaws.com/Modern_Interiors_v41.3.4/1_Interiors/16x16/Theme_Sorter_Singles/4_Bedroom_Singles/Bedroom_Singles_469.png")</f>
        <v/>
      </c>
      <c r="C467" s="14"/>
    </row>
    <row r="468" ht="33.75" customHeight="1">
      <c r="A468" s="14" t="s">
        <v>1010</v>
      </c>
      <c r="B468" s="14" t="str">
        <f>IMAGE("https://lmztiles.s3.eu-west-1.amazonaws.com/Modern_Interiors_v41.3.4/1_Interiors/16x16/Theme_Sorter_Singles/4_Bedroom_Singles/Bedroom_Singles_470.png")</f>
        <v/>
      </c>
      <c r="C468" s="14"/>
    </row>
    <row r="469" ht="33.75" customHeight="1">
      <c r="A469" s="14" t="s">
        <v>1011</v>
      </c>
      <c r="B469" s="14" t="str">
        <f>IMAGE("https://lmztiles.s3.eu-west-1.amazonaws.com/Modern_Interiors_v41.3.4/1_Interiors/16x16/Theme_Sorter_Singles/4_Bedroom_Singles/Bedroom_Singles_471.png")</f>
        <v/>
      </c>
      <c r="C469" s="14"/>
    </row>
    <row r="470" ht="33.75" customHeight="1">
      <c r="A470" s="14" t="s">
        <v>1012</v>
      </c>
      <c r="B470" s="14" t="str">
        <f>IMAGE("https://lmztiles.s3.eu-west-1.amazonaws.com/Modern_Interiors_v41.3.4/1_Interiors/16x16/Theme_Sorter_Singles/4_Bedroom_Singles/Bedroom_Singles_472.png")</f>
        <v/>
      </c>
      <c r="C470" s="14"/>
    </row>
    <row r="471" ht="33.75" customHeight="1">
      <c r="A471" s="14" t="s">
        <v>1013</v>
      </c>
      <c r="B471" s="14" t="str">
        <f>IMAGE("https://lmztiles.s3.eu-west-1.amazonaws.com/Modern_Interiors_v41.3.4/1_Interiors/16x16/Theme_Sorter_Singles/4_Bedroom_Singles/Bedroom_Singles_473.png")</f>
        <v/>
      </c>
      <c r="C471" s="14"/>
    </row>
    <row r="472" ht="33.75" customHeight="1">
      <c r="A472" s="14" t="s">
        <v>1014</v>
      </c>
      <c r="B472" s="14" t="str">
        <f>IMAGE("https://lmztiles.s3.eu-west-1.amazonaws.com/Modern_Interiors_v41.3.4/1_Interiors/16x16/Theme_Sorter_Singles/4_Bedroom_Singles/Bedroom_Singles_474.png")</f>
        <v/>
      </c>
      <c r="C472" s="14"/>
    </row>
    <row r="473" ht="33.75" customHeight="1">
      <c r="A473" s="14" t="s">
        <v>1015</v>
      </c>
      <c r="B473" s="14" t="str">
        <f>IMAGE("https://lmztiles.s3.eu-west-1.amazonaws.com/Modern_Interiors_v41.3.4/1_Interiors/16x16/Theme_Sorter_Singles/4_Bedroom_Singles/Bedroom_Singles_475.png")</f>
        <v/>
      </c>
      <c r="C473" s="14"/>
    </row>
    <row r="474" ht="33.75" customHeight="1">
      <c r="A474" s="14" t="s">
        <v>1016</v>
      </c>
      <c r="B474" s="14" t="str">
        <f>IMAGE("https://lmztiles.s3.eu-west-1.amazonaws.com/Modern_Interiors_v41.3.4/1_Interiors/16x16/Theme_Sorter_Singles/4_Bedroom_Singles/Bedroom_Singles_476.png")</f>
        <v/>
      </c>
      <c r="C474" s="14"/>
    </row>
    <row r="475" ht="33.75" customHeight="1">
      <c r="A475" s="14" t="s">
        <v>1017</v>
      </c>
      <c r="B475" s="14" t="str">
        <f>IMAGE("https://lmztiles.s3.eu-west-1.amazonaws.com/Modern_Interiors_v41.3.4/1_Interiors/16x16/Theme_Sorter_Singles/4_Bedroom_Singles/Bedroom_Singles_477.png")</f>
        <v/>
      </c>
      <c r="C475" s="14"/>
    </row>
    <row r="476" ht="33.75" customHeight="1">
      <c r="A476" s="14" t="s">
        <v>1018</v>
      </c>
      <c r="B476" s="14" t="str">
        <f>IMAGE("https://lmztiles.s3.eu-west-1.amazonaws.com/Modern_Interiors_v41.3.4/1_Interiors/16x16/Theme_Sorter_Singles/4_Bedroom_Singles/Bedroom_Singles_478.png")</f>
        <v/>
      </c>
      <c r="C476" s="14"/>
    </row>
    <row r="477" ht="33.75" customHeight="1">
      <c r="A477" s="14" t="s">
        <v>1019</v>
      </c>
      <c r="B477" s="14" t="str">
        <f>IMAGE("https://lmztiles.s3.eu-west-1.amazonaws.com/Modern_Interiors_v41.3.4/1_Interiors/16x16/Theme_Sorter_Singles/4_Bedroom_Singles/Bedroom_Singles_479.png")</f>
        <v/>
      </c>
      <c r="C477" s="14"/>
    </row>
    <row r="478" ht="33.75" customHeight="1">
      <c r="A478" s="14" t="s">
        <v>1020</v>
      </c>
      <c r="B478" s="14" t="str">
        <f>IMAGE("https://lmztiles.s3.eu-west-1.amazonaws.com/Modern_Interiors_v41.3.4/1_Interiors/16x16/Theme_Sorter_Singles/4_Bedroom_Singles/Bedroom_Singles_480.png")</f>
        <v/>
      </c>
      <c r="C478" s="14"/>
    </row>
    <row r="479" ht="33.75" customHeight="1">
      <c r="A479" s="14" t="s">
        <v>1021</v>
      </c>
      <c r="B479" s="14" t="str">
        <f>IMAGE("https://lmztiles.s3.eu-west-1.amazonaws.com/Modern_Interiors_v41.3.4/1_Interiors/16x16/Theme_Sorter_Singles/4_Bedroom_Singles/Bedroom_Singles_481.png")</f>
        <v/>
      </c>
      <c r="C479" s="14"/>
    </row>
    <row r="480" ht="33.75" customHeight="1">
      <c r="A480" s="14" t="s">
        <v>1022</v>
      </c>
      <c r="B480" s="14" t="str">
        <f>IMAGE("https://lmztiles.s3.eu-west-1.amazonaws.com/Modern_Interiors_v41.3.4/1_Interiors/16x16/Theme_Sorter_Singles/4_Bedroom_Singles/Bedroom_Singles_482.png")</f>
        <v/>
      </c>
      <c r="C480" s="14"/>
    </row>
    <row r="481" ht="33.75" customHeight="1">
      <c r="A481" s="14" t="s">
        <v>1023</v>
      </c>
      <c r="B481" s="14" t="str">
        <f>IMAGE("https://lmztiles.s3.eu-west-1.amazonaws.com/Modern_Interiors_v41.3.4/1_Interiors/16x16/Theme_Sorter_Singles/4_Bedroom_Singles/Bedroom_Singles_483.png")</f>
        <v/>
      </c>
      <c r="C481" s="14"/>
    </row>
    <row r="482" ht="33.75" customHeight="1">
      <c r="A482" s="14" t="s">
        <v>1024</v>
      </c>
      <c r="B482" s="14" t="str">
        <f>IMAGE("https://lmztiles.s3.eu-west-1.amazonaws.com/Modern_Interiors_v41.3.4/1_Interiors/16x16/Theme_Sorter_Singles/4_Bedroom_Singles/Bedroom_Singles_484.png")</f>
        <v/>
      </c>
      <c r="C482" s="14"/>
    </row>
    <row r="483" ht="33.75" customHeight="1">
      <c r="A483" s="14" t="s">
        <v>1025</v>
      </c>
      <c r="B483" s="14" t="str">
        <f>IMAGE("https://lmztiles.s3.eu-west-1.amazonaws.com/Modern_Interiors_v41.3.4/1_Interiors/16x16/Theme_Sorter_Singles/4_Bedroom_Singles/Bedroom_Singles_485.png")</f>
        <v/>
      </c>
      <c r="C483" s="14"/>
    </row>
    <row r="484" ht="33.75" customHeight="1">
      <c r="A484" s="14" t="s">
        <v>1026</v>
      </c>
      <c r="B484" s="14" t="str">
        <f>IMAGE("https://lmztiles.s3.eu-west-1.amazonaws.com/Modern_Interiors_v41.3.4/1_Interiors/16x16/Theme_Sorter_Singles/4_Bedroom_Singles/Bedroom_Singles_486.png")</f>
        <v/>
      </c>
      <c r="C484" s="14"/>
    </row>
    <row r="485" ht="33.75" customHeight="1">
      <c r="A485" s="14" t="s">
        <v>1027</v>
      </c>
      <c r="B485" s="14" t="str">
        <f>IMAGE("https://lmztiles.s3.eu-west-1.amazonaws.com/Modern_Interiors_v41.3.4/1_Interiors/16x16/Theme_Sorter_Singles/4_Bedroom_Singles/Bedroom_Singles_487.png")</f>
        <v/>
      </c>
      <c r="C485" s="14"/>
    </row>
    <row r="486" ht="33.75" customHeight="1">
      <c r="A486" s="14" t="s">
        <v>1028</v>
      </c>
      <c r="B486" s="14" t="str">
        <f>IMAGE("https://lmztiles.s3.eu-west-1.amazonaws.com/Modern_Interiors_v41.3.4/1_Interiors/16x16/Theme_Sorter_Singles/4_Bedroom_Singles/Bedroom_Singles_488.png")</f>
        <v/>
      </c>
      <c r="C486" s="14"/>
    </row>
    <row r="487" ht="33.75" customHeight="1">
      <c r="A487" s="14" t="s">
        <v>1029</v>
      </c>
      <c r="B487" s="14" t="str">
        <f>IMAGE("https://lmztiles.s3.eu-west-1.amazonaws.com/Modern_Interiors_v41.3.4/1_Interiors/16x16/Theme_Sorter_Singles/4_Bedroom_Singles/Bedroom_Singles_489.png")</f>
        <v/>
      </c>
      <c r="C487" s="14"/>
    </row>
    <row r="488" ht="33.75" customHeight="1">
      <c r="A488" s="14" t="s">
        <v>1030</v>
      </c>
      <c r="B488" s="14" t="str">
        <f>IMAGE("https://lmztiles.s3.eu-west-1.amazonaws.com/Modern_Interiors_v41.3.4/1_Interiors/16x16/Theme_Sorter_Singles/4_Bedroom_Singles/Bedroom_Singles_490.png")</f>
        <v/>
      </c>
      <c r="C488" s="14"/>
    </row>
    <row r="489" ht="33.75" customHeight="1">
      <c r="A489" s="14" t="s">
        <v>1031</v>
      </c>
      <c r="B489" s="14" t="str">
        <f>IMAGE("https://lmztiles.s3.eu-west-1.amazonaws.com/Modern_Interiors_v41.3.4/1_Interiors/16x16/Theme_Sorter_Singles/4_Bedroom_Singles/Bedroom_Singles_491.png")</f>
        <v/>
      </c>
      <c r="C489" s="14"/>
    </row>
    <row r="490" ht="33.75" customHeight="1">
      <c r="A490" s="14" t="s">
        <v>1032</v>
      </c>
      <c r="B490" s="14" t="str">
        <f>IMAGE("https://lmztiles.s3.eu-west-1.amazonaws.com/Modern_Interiors_v41.3.4/1_Interiors/16x16/Theme_Sorter_Singles/4_Bedroom_Singles/Bedroom_Singles_492.png")</f>
        <v/>
      </c>
      <c r="C490" s="14"/>
    </row>
    <row r="491" ht="33.75" customHeight="1">
      <c r="A491" s="14" t="s">
        <v>1033</v>
      </c>
      <c r="B491" s="14" t="str">
        <f>IMAGE("https://lmztiles.s3.eu-west-1.amazonaws.com/Modern_Interiors_v41.3.4/1_Interiors/16x16/Theme_Sorter_Singles/4_Bedroom_Singles/Bedroom_Singles_493.png")</f>
        <v/>
      </c>
      <c r="C491" s="14"/>
    </row>
    <row r="492" ht="33.75" customHeight="1">
      <c r="A492" s="14" t="s">
        <v>1034</v>
      </c>
      <c r="B492" s="14" t="str">
        <f>IMAGE("https://lmztiles.s3.eu-west-1.amazonaws.com/Modern_Interiors_v41.3.4/1_Interiors/16x16/Theme_Sorter_Singles/4_Bedroom_Singles/Bedroom_Singles_494.png")</f>
        <v/>
      </c>
      <c r="C492" s="14"/>
    </row>
    <row r="493" ht="33.75" customHeight="1">
      <c r="A493" s="14" t="s">
        <v>1035</v>
      </c>
      <c r="B493" s="14" t="str">
        <f>IMAGE("https://lmztiles.s3.eu-west-1.amazonaws.com/Modern_Interiors_v41.3.4/1_Interiors/16x16/Theme_Sorter_Singles/4_Bedroom_Singles/Bedroom_Singles_495.png")</f>
        <v/>
      </c>
      <c r="C493" s="14"/>
    </row>
    <row r="494" ht="33.75" customHeight="1">
      <c r="A494" s="14" t="s">
        <v>1036</v>
      </c>
      <c r="B494" s="14" t="str">
        <f>IMAGE("https://lmztiles.s3.eu-west-1.amazonaws.com/Modern_Interiors_v41.3.4/1_Interiors/16x16/Theme_Sorter_Singles/4_Bedroom_Singles/Bedroom_Singles_496.png")</f>
        <v/>
      </c>
      <c r="C494" s="14"/>
    </row>
    <row r="495" ht="33.75" customHeight="1">
      <c r="A495" s="14" t="s">
        <v>1037</v>
      </c>
      <c r="B495" s="14" t="str">
        <f>IMAGE("https://lmztiles.s3.eu-west-1.amazonaws.com/Modern_Interiors_v41.3.4/1_Interiors/16x16/Theme_Sorter_Singles/4_Bedroom_Singles/Bedroom_Singles_497.png")</f>
        <v/>
      </c>
      <c r="C495" s="14"/>
    </row>
    <row r="496" ht="33.75" customHeight="1">
      <c r="A496" s="14" t="s">
        <v>1038</v>
      </c>
      <c r="B496" s="14" t="str">
        <f>IMAGE("https://lmztiles.s3.eu-west-1.amazonaws.com/Modern_Interiors_v41.3.4/1_Interiors/16x16/Theme_Sorter_Singles/4_Bedroom_Singles/Bedroom_Singles_498.png")</f>
        <v/>
      </c>
      <c r="C496" s="14"/>
    </row>
    <row r="497" ht="33.75" customHeight="1">
      <c r="A497" s="14" t="s">
        <v>1039</v>
      </c>
      <c r="B497" s="14" t="str">
        <f>IMAGE("https://lmztiles.s3.eu-west-1.amazonaws.com/Modern_Interiors_v41.3.4/1_Interiors/16x16/Theme_Sorter_Singles/4_Bedroom_Singles/Bedroom_Singles_499.png")</f>
        <v/>
      </c>
      <c r="C497" s="14"/>
    </row>
    <row r="498" ht="33.75" customHeight="1">
      <c r="A498" s="14" t="s">
        <v>1040</v>
      </c>
      <c r="B498" s="14" t="str">
        <f>IMAGE("https://lmztiles.s3.eu-west-1.amazonaws.com/Modern_Interiors_v41.3.4/1_Interiors/16x16/Theme_Sorter_Singles/4_Bedroom_Singles/Bedroom_Singles_500.png")</f>
        <v/>
      </c>
      <c r="C498" s="14"/>
    </row>
    <row r="499" ht="33.75" customHeight="1">
      <c r="A499" s="14" t="s">
        <v>1041</v>
      </c>
      <c r="B499" s="14" t="str">
        <f>IMAGE("https://lmztiles.s3.eu-west-1.amazonaws.com/Modern_Interiors_v41.3.4/1_Interiors/16x16/Theme_Sorter_Singles/4_Bedroom_Singles/Bedroom_Singles_501.png")</f>
        <v/>
      </c>
      <c r="C499" s="14"/>
    </row>
    <row r="500" ht="33.75" customHeight="1">
      <c r="A500" s="14" t="s">
        <v>1042</v>
      </c>
      <c r="B500" s="14" t="str">
        <f>IMAGE("https://lmztiles.s3.eu-west-1.amazonaws.com/Modern_Interiors_v41.3.4/1_Interiors/16x16/Theme_Sorter_Singles/4_Bedroom_Singles/Bedroom_Singles_502.png")</f>
        <v/>
      </c>
      <c r="C500" s="14"/>
    </row>
    <row r="501" ht="33.75" customHeight="1">
      <c r="A501" s="14" t="s">
        <v>1043</v>
      </c>
      <c r="B501" s="14" t="str">
        <f>IMAGE("https://lmztiles.s3.eu-west-1.amazonaws.com/Modern_Interiors_v41.3.4/1_Interiors/16x16/Theme_Sorter_Singles/4_Bedroom_Singles/Bedroom_Singles_503.png")</f>
        <v/>
      </c>
      <c r="C501" s="14"/>
    </row>
    <row r="502" ht="33.75" customHeight="1">
      <c r="A502" s="14" t="s">
        <v>1044</v>
      </c>
      <c r="B502" s="14" t="str">
        <f>IMAGE("https://lmztiles.s3.eu-west-1.amazonaws.com/Modern_Interiors_v41.3.4/1_Interiors/16x16/Theme_Sorter_Singles/4_Bedroom_Singles/Bedroom_Singles_504.png")</f>
        <v/>
      </c>
      <c r="C502" s="14"/>
    </row>
    <row r="503" ht="33.75" customHeight="1">
      <c r="A503" s="14" t="s">
        <v>1045</v>
      </c>
      <c r="B503" s="14" t="str">
        <f>IMAGE("https://lmztiles.s3.eu-west-1.amazonaws.com/Modern_Interiors_v41.3.4/1_Interiors/16x16/Theme_Sorter_Singles/4_Bedroom_Singles/Bedroom_Singles_505.png")</f>
        <v/>
      </c>
      <c r="C503" s="14"/>
    </row>
    <row r="504" ht="33.75" customHeight="1">
      <c r="A504" s="14" t="s">
        <v>1046</v>
      </c>
      <c r="B504" s="14" t="str">
        <f>IMAGE("https://lmztiles.s3.eu-west-1.amazonaws.com/Modern_Interiors_v41.3.4/1_Interiors/16x16/Theme_Sorter_Singles/4_Bedroom_Singles/Bedroom_Singles_506.png")</f>
        <v/>
      </c>
      <c r="C504" s="14"/>
    </row>
    <row r="505" ht="33.75" customHeight="1">
      <c r="A505" s="14" t="s">
        <v>1047</v>
      </c>
      <c r="B505" s="14" t="str">
        <f>IMAGE("https://lmztiles.s3.eu-west-1.amazonaws.com/Modern_Interiors_v41.3.4/1_Interiors/16x16/Theme_Sorter_Singles/4_Bedroom_Singles/Bedroom_Singles_507.png")</f>
        <v/>
      </c>
      <c r="C505" s="14"/>
    </row>
    <row r="506" ht="33.75" customHeight="1">
      <c r="A506" s="14" t="s">
        <v>1048</v>
      </c>
      <c r="B506" s="14" t="str">
        <f>IMAGE("https://lmztiles.s3.eu-west-1.amazonaws.com/Modern_Interiors_v41.3.4/1_Interiors/16x16/Theme_Sorter_Singles/4_Bedroom_Singles/Bedroom_Singles_508.png")</f>
        <v/>
      </c>
      <c r="C506" s="14"/>
    </row>
    <row r="507" ht="33.75" customHeight="1">
      <c r="A507" s="14" t="s">
        <v>1049</v>
      </c>
      <c r="B507" s="14" t="str">
        <f>IMAGE("https://lmztiles.s3.eu-west-1.amazonaws.com/Modern_Interiors_v41.3.4/1_Interiors/16x16/Theme_Sorter_Singles/4_Bedroom_Singles/Bedroom_Singles_509.png")</f>
        <v/>
      </c>
      <c r="C507" s="14"/>
    </row>
    <row r="508" ht="33.75" customHeight="1">
      <c r="A508" s="14" t="s">
        <v>1050</v>
      </c>
      <c r="B508" s="14" t="str">
        <f>IMAGE("https://lmztiles.s3.eu-west-1.amazonaws.com/Modern_Interiors_v41.3.4/1_Interiors/16x16/Theme_Sorter_Singles/4_Bedroom_Singles/Bedroom_Singles_510.png")</f>
        <v/>
      </c>
      <c r="C508" s="14"/>
    </row>
    <row r="509" ht="33.75" customHeight="1">
      <c r="A509" s="14" t="s">
        <v>1051</v>
      </c>
      <c r="B509" s="14" t="str">
        <f>IMAGE("https://lmztiles.s3.eu-west-1.amazonaws.com/Modern_Interiors_v41.3.4/1_Interiors/16x16/Theme_Sorter_Singles/4_Bedroom_Singles/Bedroom_Singles_511.png")</f>
        <v/>
      </c>
      <c r="C509" s="14"/>
    </row>
    <row r="510" ht="33.75" customHeight="1">
      <c r="A510" s="14" t="s">
        <v>1052</v>
      </c>
      <c r="B510" s="14" t="str">
        <f>IMAGE("https://lmztiles.s3.eu-west-1.amazonaws.com/Modern_Interiors_v41.3.4/1_Interiors/16x16/Theme_Sorter_Singles/4_Bedroom_Singles/Bedroom_Singles_512.png")</f>
        <v/>
      </c>
      <c r="C510" s="14"/>
    </row>
    <row r="511" ht="33.75" customHeight="1">
      <c r="A511" s="14" t="s">
        <v>1053</v>
      </c>
      <c r="B511" s="14" t="str">
        <f>IMAGE("https://lmztiles.s3.eu-west-1.amazonaws.com/Modern_Interiors_v41.3.4/1_Interiors/16x16/Theme_Sorter_Singles/4_Bedroom_Singles/Bedroom_Singles_513.png")</f>
        <v/>
      </c>
      <c r="C511" s="14"/>
    </row>
    <row r="512" ht="33.75" customHeight="1">
      <c r="A512" s="14" t="s">
        <v>1054</v>
      </c>
      <c r="B512" s="14" t="str">
        <f>IMAGE("https://lmztiles.s3.eu-west-1.amazonaws.com/Modern_Interiors_v41.3.4/1_Interiors/16x16/Theme_Sorter_Singles/4_Bedroom_Singles/Bedroom_Singles_514.png")</f>
        <v/>
      </c>
      <c r="C512" s="14"/>
    </row>
    <row r="513" ht="33.75" customHeight="1">
      <c r="A513" s="14" t="s">
        <v>1055</v>
      </c>
      <c r="B513" s="14" t="str">
        <f>IMAGE("https://lmztiles.s3.eu-west-1.amazonaws.com/Modern_Interiors_v41.3.4/1_Interiors/16x16/Theme_Sorter_Singles/4_Bedroom_Singles/Bedroom_Singles_515.png")</f>
        <v/>
      </c>
      <c r="C513" s="14"/>
    </row>
    <row r="514" ht="33.75" customHeight="1">
      <c r="A514" s="14" t="s">
        <v>1056</v>
      </c>
      <c r="B514" s="14" t="str">
        <f>IMAGE("https://lmztiles.s3.eu-west-1.amazonaws.com/Modern_Interiors_v41.3.4/1_Interiors/16x16/Theme_Sorter_Singles/4_Bedroom_Singles/Bedroom_Singles_516.png")</f>
        <v/>
      </c>
      <c r="C514" s="14"/>
    </row>
    <row r="515" ht="33.75" customHeight="1">
      <c r="A515" s="14" t="s">
        <v>1057</v>
      </c>
      <c r="B515" s="14" t="str">
        <f>IMAGE("https://lmztiles.s3.eu-west-1.amazonaws.com/Modern_Interiors_v41.3.4/1_Interiors/16x16/Theme_Sorter_Singles/4_Bedroom_Singles/Bedroom_Singles_517.png")</f>
        <v/>
      </c>
      <c r="C515" s="14"/>
    </row>
    <row r="516" ht="33.75" customHeight="1">
      <c r="A516" s="14" t="s">
        <v>1058</v>
      </c>
      <c r="B516" s="14" t="str">
        <f>IMAGE("https://lmztiles.s3.eu-west-1.amazonaws.com/Modern_Interiors_v41.3.4/1_Interiors/16x16/Theme_Sorter_Singles/4_Bedroom_Singles/Bedroom_Singles_518.png")</f>
        <v/>
      </c>
      <c r="C516" s="14"/>
    </row>
    <row r="517" ht="33.75" customHeight="1">
      <c r="A517" s="14" t="s">
        <v>1059</v>
      </c>
      <c r="B517" s="14" t="str">
        <f>IMAGE("https://lmztiles.s3.eu-west-1.amazonaws.com/Modern_Interiors_v41.3.4/1_Interiors/16x16/Theme_Sorter_Singles/4_Bedroom_Singles/Bedroom_Singles_519.png")</f>
        <v/>
      </c>
      <c r="C517" s="14"/>
    </row>
    <row r="518" ht="33.75" customHeight="1">
      <c r="A518" s="14" t="s">
        <v>1060</v>
      </c>
      <c r="B518" s="14" t="str">
        <f>IMAGE("https://lmztiles.s3.eu-west-1.amazonaws.com/Modern_Interiors_v41.3.4/1_Interiors/16x16/Theme_Sorter_Singles/4_Bedroom_Singles/Bedroom_Singles_520.png")</f>
        <v/>
      </c>
      <c r="C518" s="14"/>
    </row>
    <row r="519" ht="33.75" customHeight="1">
      <c r="A519" s="14" t="s">
        <v>1061</v>
      </c>
      <c r="B519" s="14" t="str">
        <f>IMAGE("https://lmztiles.s3.eu-west-1.amazonaws.com/Modern_Interiors_v41.3.4/1_Interiors/16x16/Theme_Sorter_Singles/4_Bedroom_Singles/Bedroom_Singles_521.png")</f>
        <v/>
      </c>
      <c r="C519" s="14"/>
    </row>
    <row r="520" ht="33.75" customHeight="1">
      <c r="A520" s="14" t="s">
        <v>1062</v>
      </c>
      <c r="B520" s="14" t="str">
        <f>IMAGE("https://lmztiles.s3.eu-west-1.amazonaws.com/Modern_Interiors_v41.3.4/1_Interiors/16x16/Theme_Sorter_Singles/4_Bedroom_Singles/Bedroom_Singles_522.png")</f>
        <v/>
      </c>
      <c r="C520" s="14"/>
    </row>
    <row r="521" ht="33.75" customHeight="1">
      <c r="A521" s="14" t="s">
        <v>1063</v>
      </c>
      <c r="B521" s="14" t="str">
        <f>IMAGE("https://lmztiles.s3.eu-west-1.amazonaws.com/Modern_Interiors_v41.3.4/1_Interiors/16x16/Theme_Sorter_Singles/4_Bedroom_Singles/Bedroom_Singles_523.png")</f>
        <v/>
      </c>
      <c r="C521" s="14"/>
    </row>
    <row r="522" ht="33.75" customHeight="1">
      <c r="A522" s="14" t="s">
        <v>1064</v>
      </c>
      <c r="B522" s="14" t="str">
        <f>IMAGE("https://lmztiles.s3.eu-west-1.amazonaws.com/Modern_Interiors_v41.3.4/1_Interiors/16x16/Theme_Sorter_Singles/4_Bedroom_Singles/Bedroom_Singles_524.png")</f>
        <v/>
      </c>
      <c r="C522" s="14"/>
    </row>
    <row r="523" ht="33.75" customHeight="1">
      <c r="A523" s="14" t="s">
        <v>1065</v>
      </c>
      <c r="B523" s="14" t="str">
        <f>IMAGE("https://lmztiles.s3.eu-west-1.amazonaws.com/Modern_Interiors_v41.3.4/1_Interiors/16x16/Theme_Sorter_Singles/4_Bedroom_Singles/Bedroom_Singles_525.png")</f>
        <v/>
      </c>
      <c r="C523" s="14"/>
    </row>
    <row r="524" ht="33.75" customHeight="1">
      <c r="A524" s="14" t="s">
        <v>1066</v>
      </c>
      <c r="B524" s="14" t="str">
        <f>IMAGE("https://lmztiles.s3.eu-west-1.amazonaws.com/Modern_Interiors_v41.3.4/1_Interiors/16x16/Theme_Sorter_Singles/4_Bedroom_Singles/Bedroom_Singles_526.png")</f>
        <v/>
      </c>
      <c r="C524" s="14"/>
    </row>
    <row r="525" ht="33.75" customHeight="1">
      <c r="A525" s="14" t="s">
        <v>1067</v>
      </c>
      <c r="B525" s="14" t="str">
        <f>IMAGE("https://lmztiles.s3.eu-west-1.amazonaws.com/Modern_Interiors_v41.3.4/1_Interiors/16x16/Theme_Sorter_Singles/4_Bedroom_Singles/Bedroom_Singles_527.png")</f>
        <v/>
      </c>
      <c r="C525" s="14"/>
    </row>
    <row r="526" ht="33.75" customHeight="1">
      <c r="A526" s="14" t="s">
        <v>1068</v>
      </c>
      <c r="B526" s="14" t="str">
        <f>IMAGE("https://lmztiles.s3.eu-west-1.amazonaws.com/Modern_Interiors_v41.3.4/1_Interiors/16x16/Theme_Sorter_Singles/4_Bedroom_Singles/Bedroom_Singles_528.png")</f>
        <v/>
      </c>
      <c r="C526" s="14"/>
    </row>
    <row r="527" ht="33.75" customHeight="1">
      <c r="A527" s="14" t="s">
        <v>1069</v>
      </c>
      <c r="B527" s="14" t="str">
        <f>IMAGE("https://lmztiles.s3.eu-west-1.amazonaws.com/Modern_Interiors_v41.3.4/1_Interiors/16x16/Theme_Sorter_Singles/4_Bedroom_Singles/Bedroom_Singles_529.png")</f>
        <v/>
      </c>
      <c r="C527" s="14"/>
    </row>
    <row r="528" ht="33.75" customHeight="1">
      <c r="A528" s="14" t="s">
        <v>1070</v>
      </c>
      <c r="B528" s="14" t="str">
        <f>IMAGE("https://lmztiles.s3.eu-west-1.amazonaws.com/Modern_Interiors_v41.3.4/1_Interiors/16x16/Theme_Sorter_Singles/4_Bedroom_Singles/Bedroom_Singles_530.png")</f>
        <v/>
      </c>
      <c r="C528" s="14"/>
    </row>
    <row r="529" ht="33.75" customHeight="1">
      <c r="A529" s="14" t="s">
        <v>1071</v>
      </c>
      <c r="B529" s="14" t="str">
        <f>IMAGE("https://lmztiles.s3.eu-west-1.amazonaws.com/Modern_Interiors_v41.3.4/1_Interiors/16x16/Theme_Sorter_Singles/4_Bedroom_Singles/Bedroom_Singles_531.png")</f>
        <v/>
      </c>
      <c r="C529" s="14"/>
    </row>
    <row r="530" ht="33.75" customHeight="1">
      <c r="A530" s="14" t="s">
        <v>1072</v>
      </c>
      <c r="B530" s="14" t="str">
        <f>IMAGE("https://lmztiles.s3.eu-west-1.amazonaws.com/Modern_Interiors_v41.3.4/1_Interiors/16x16/Theme_Sorter_Singles/4_Bedroom_Singles/Bedroom_Singles_532.png")</f>
        <v/>
      </c>
      <c r="C530" s="14"/>
    </row>
    <row r="531" ht="33.75" customHeight="1">
      <c r="A531" s="14" t="s">
        <v>1073</v>
      </c>
      <c r="B531" s="14" t="str">
        <f>IMAGE("https://lmztiles.s3.eu-west-1.amazonaws.com/Modern_Interiors_v41.3.4/1_Interiors/16x16/Theme_Sorter_Singles/4_Bedroom_Singles/Bedroom_Singles_533.png")</f>
        <v/>
      </c>
      <c r="C531" s="14"/>
    </row>
    <row r="532" ht="33.75" customHeight="1">
      <c r="A532" s="14" t="s">
        <v>1074</v>
      </c>
      <c r="B532" s="14" t="str">
        <f>IMAGE("https://lmztiles.s3.eu-west-1.amazonaws.com/Modern_Interiors_v41.3.4/1_Interiors/16x16/Theme_Sorter_Singles/4_Bedroom_Singles/Bedroom_Singles_534.png")</f>
        <v/>
      </c>
      <c r="C532" s="14"/>
    </row>
    <row r="533" ht="33.75" customHeight="1">
      <c r="A533" s="14" t="s">
        <v>1075</v>
      </c>
      <c r="B533" s="14" t="str">
        <f>IMAGE("https://lmztiles.s3.eu-west-1.amazonaws.com/Modern_Interiors_v41.3.4/1_Interiors/16x16/Theme_Sorter_Singles/4_Bedroom_Singles/Bedroom_Singles_535.png")</f>
        <v/>
      </c>
      <c r="C533" s="14"/>
    </row>
    <row r="534" ht="33.75" customHeight="1">
      <c r="A534" s="14" t="s">
        <v>1076</v>
      </c>
      <c r="B534" s="14" t="str">
        <f>IMAGE("https://lmztiles.s3.eu-west-1.amazonaws.com/Modern_Interiors_v41.3.4/1_Interiors/16x16/Theme_Sorter_Singles/4_Bedroom_Singles/Bedroom_Singles_536.png")</f>
        <v/>
      </c>
      <c r="C534" s="14"/>
    </row>
    <row r="535" ht="33.75" customHeight="1">
      <c r="A535" s="14" t="s">
        <v>1077</v>
      </c>
      <c r="B535" s="14" t="str">
        <f>IMAGE("https://lmztiles.s3.eu-west-1.amazonaws.com/Modern_Interiors_v41.3.4/1_Interiors/16x16/Theme_Sorter_Singles/4_Bedroom_Singles/Bedroom_Singles_537.png")</f>
        <v/>
      </c>
      <c r="C535" s="14"/>
    </row>
    <row r="536" ht="33.75" customHeight="1">
      <c r="A536" s="14" t="s">
        <v>1078</v>
      </c>
      <c r="B536" s="14" t="str">
        <f>IMAGE("https://lmztiles.s3.eu-west-1.amazonaws.com/Modern_Interiors_v41.3.4/1_Interiors/16x16/Theme_Sorter_Singles/4_Bedroom_Singles/Bedroom_Singles_538.png")</f>
        <v/>
      </c>
      <c r="C536" s="14"/>
    </row>
    <row r="537" ht="33.75" customHeight="1">
      <c r="A537" s="14" t="s">
        <v>1079</v>
      </c>
      <c r="B537" s="14" t="str">
        <f>IMAGE("https://lmztiles.s3.eu-west-1.amazonaws.com/Modern_Interiors_v41.3.4/1_Interiors/16x16/Theme_Sorter_Singles/4_Bedroom_Singles/Bedroom_Singles_539.png")</f>
        <v/>
      </c>
      <c r="C537" s="14"/>
    </row>
    <row r="538" ht="33.75" customHeight="1">
      <c r="A538" s="14" t="s">
        <v>1080</v>
      </c>
      <c r="B538" s="14" t="str">
        <f>IMAGE("https://lmztiles.s3.eu-west-1.amazonaws.com/Modern_Interiors_v41.3.4/1_Interiors/16x16/Theme_Sorter_Singles/4_Bedroom_Singles/Bedroom_Singles_540.png")</f>
        <v/>
      </c>
      <c r="C538" s="14"/>
    </row>
    <row r="539" ht="33.75" customHeight="1">
      <c r="A539" s="14" t="s">
        <v>1081</v>
      </c>
      <c r="B539" s="14" t="str">
        <f>IMAGE("https://lmztiles.s3.eu-west-1.amazonaws.com/Modern_Interiors_v41.3.4/1_Interiors/16x16/Theme_Sorter_Singles/4_Bedroom_Singles/Bedroom_Singles_541.png")</f>
        <v/>
      </c>
      <c r="C539" s="14"/>
    </row>
    <row r="540" ht="33.75" customHeight="1">
      <c r="A540" s="14" t="s">
        <v>1082</v>
      </c>
      <c r="B540" s="14" t="str">
        <f>IMAGE("https://lmztiles.s3.eu-west-1.amazonaws.com/Modern_Interiors_v41.3.4/1_Interiors/16x16/Theme_Sorter_Singles/4_Bedroom_Singles/Bedroom_Singles_542.png")</f>
        <v/>
      </c>
      <c r="C540" s="14"/>
    </row>
    <row r="541" ht="33.75" customHeight="1">
      <c r="A541" s="14" t="s">
        <v>1083</v>
      </c>
      <c r="B541" s="14" t="str">
        <f>IMAGE("https://lmztiles.s3.eu-west-1.amazonaws.com/Modern_Interiors_v41.3.4/1_Interiors/16x16/Theme_Sorter_Singles/4_Bedroom_Singles/Bedroom_Singles_543.png")</f>
        <v/>
      </c>
      <c r="C541" s="14"/>
    </row>
    <row r="542" ht="33.75" customHeight="1">
      <c r="A542" s="14" t="s">
        <v>1084</v>
      </c>
      <c r="B542" s="14" t="str">
        <f>IMAGE("https://lmztiles.s3.eu-west-1.amazonaws.com/Modern_Interiors_v41.3.4/1_Interiors/16x16/Theme_Sorter_Singles/4_Bedroom_Singles/Bedroom_Singles_544.png")</f>
        <v/>
      </c>
      <c r="C542" s="14"/>
    </row>
    <row r="543" ht="33.75" customHeight="1">
      <c r="A543" s="14" t="s">
        <v>1085</v>
      </c>
      <c r="B543" s="14" t="str">
        <f>IMAGE("https://lmztiles.s3.eu-west-1.amazonaws.com/Modern_Interiors_v41.3.4/1_Interiors/16x16/Theme_Sorter_Singles/4_Bedroom_Singles/Bedroom_Singles_545.png")</f>
        <v/>
      </c>
      <c r="C543" s="14"/>
    </row>
    <row r="544" ht="33.75" customHeight="1">
      <c r="A544" s="14" t="s">
        <v>1086</v>
      </c>
      <c r="B544" s="14" t="str">
        <f>IMAGE("https://lmztiles.s3.eu-west-1.amazonaws.com/Modern_Interiors_v41.3.4/1_Interiors/16x16/Theme_Sorter_Singles/4_Bedroom_Singles/Bedroom_Singles_546.png")</f>
        <v/>
      </c>
      <c r="C544" s="14"/>
    </row>
    <row r="545" ht="33.75" customHeight="1">
      <c r="A545" s="14" t="s">
        <v>1087</v>
      </c>
      <c r="B545" s="14" t="str">
        <f>IMAGE("https://lmztiles.s3.eu-west-1.amazonaws.com/Modern_Interiors_v41.3.4/1_Interiors/16x16/Theme_Sorter_Singles/4_Bedroom_Singles/Bedroom_Singles_547.png")</f>
        <v/>
      </c>
      <c r="C545" s="14"/>
    </row>
    <row r="546" ht="33.75" customHeight="1">
      <c r="A546" s="14" t="s">
        <v>1088</v>
      </c>
      <c r="B546" s="14" t="str">
        <f>IMAGE("https://lmztiles.s3.eu-west-1.amazonaws.com/Modern_Interiors_v41.3.4/1_Interiors/16x16/Theme_Sorter_Singles/4_Bedroom_Singles/Bedroom_Singles_548.png")</f>
        <v/>
      </c>
      <c r="C546" s="14"/>
    </row>
    <row r="547" ht="33.75" customHeight="1">
      <c r="A547" s="14" t="s">
        <v>1089</v>
      </c>
      <c r="B547" s="14" t="str">
        <f>IMAGE("https://lmztiles.s3.eu-west-1.amazonaws.com/Modern_Interiors_v41.3.4/1_Interiors/16x16/Theme_Sorter_Singles/4_Bedroom_Singles/Bedroom_Singles_549.png")</f>
        <v/>
      </c>
      <c r="C547" s="14"/>
    </row>
    <row r="548" ht="33.75" customHeight="1">
      <c r="A548" s="14" t="s">
        <v>1090</v>
      </c>
      <c r="B548" s="14" t="str">
        <f>IMAGE("https://lmztiles.s3.eu-west-1.amazonaws.com/Modern_Interiors_v41.3.4/1_Interiors/16x16/Theme_Sorter_Singles/4_Bedroom_Singles/Bedroom_Singles_550.png")</f>
        <v/>
      </c>
      <c r="C548" s="14"/>
    </row>
    <row r="549" ht="33.75" customHeight="1">
      <c r="A549" s="14" t="s">
        <v>1091</v>
      </c>
      <c r="B549" s="14" t="str">
        <f>IMAGE("https://lmztiles.s3.eu-west-1.amazonaws.com/Modern_Interiors_v41.3.4/1_Interiors/16x16/Theme_Sorter_Singles/4_Bedroom_Singles/Bedroom_Singles_551.png")</f>
        <v/>
      </c>
      <c r="C549" s="14"/>
    </row>
    <row r="550" ht="33.75" customHeight="1">
      <c r="A550" s="14" t="s">
        <v>1092</v>
      </c>
      <c r="B550" s="14" t="str">
        <f>IMAGE("https://lmztiles.s3.eu-west-1.amazonaws.com/Modern_Interiors_v41.3.4/1_Interiors/16x16/Theme_Sorter_Singles/4_Bedroom_Singles/Bedroom_Singles_552.png")</f>
        <v/>
      </c>
      <c r="C550" s="14"/>
    </row>
    <row r="551" ht="33.75" customHeight="1">
      <c r="A551" s="14" t="s">
        <v>1093</v>
      </c>
      <c r="B551" s="14" t="str">
        <f>IMAGE("https://lmztiles.s3.eu-west-1.amazonaws.com/Modern_Interiors_v41.3.4/1_Interiors/16x16/Theme_Sorter_Singles/4_Bedroom_Singles/Bedroom_Singles_553.png")</f>
        <v/>
      </c>
      <c r="C551" s="14"/>
    </row>
    <row r="552" ht="33.75" customHeight="1">
      <c r="A552" s="14" t="s">
        <v>1094</v>
      </c>
      <c r="B552" s="14" t="str">
        <f>IMAGE("https://lmztiles.s3.eu-west-1.amazonaws.com/Modern_Interiors_v41.3.4/1_Interiors/16x16/Theme_Sorter_Singles/4_Bedroom_Singles/Bedroom_Singles_554.png")</f>
        <v/>
      </c>
      <c r="C552" s="14"/>
    </row>
    <row r="553" ht="33.75" customHeight="1">
      <c r="A553" s="14" t="s">
        <v>1095</v>
      </c>
      <c r="B553" s="14" t="str">
        <f>IMAGE("https://lmztiles.s3.eu-west-1.amazonaws.com/Modern_Interiors_v41.3.4/1_Interiors/16x16/Theme_Sorter_Singles/4_Bedroom_Singles/Bedroom_Singles_555.png")</f>
        <v/>
      </c>
      <c r="C553" s="14"/>
    </row>
    <row r="554" ht="33.75" customHeight="1">
      <c r="A554" s="14" t="s">
        <v>1096</v>
      </c>
      <c r="B554" s="14" t="str">
        <f>IMAGE("https://lmztiles.s3.eu-west-1.amazonaws.com/Modern_Interiors_v41.3.4/1_Interiors/16x16/Theme_Sorter_Singles/4_Bedroom_Singles/Bedroom_Singles_556.png")</f>
        <v/>
      </c>
      <c r="C554" s="14"/>
    </row>
    <row r="555" ht="33.75" customHeight="1">
      <c r="A555" s="14"/>
      <c r="B555" s="14"/>
      <c r="C555" s="14"/>
    </row>
    <row r="556" ht="33.75" customHeight="1">
      <c r="A556" s="14"/>
      <c r="B556" s="14"/>
      <c r="C556" s="14"/>
    </row>
    <row r="557" ht="33.75" customHeight="1">
      <c r="A557" s="14"/>
      <c r="B557" s="14"/>
      <c r="C557" s="14"/>
    </row>
    <row r="558" ht="33.75" customHeight="1">
      <c r="A558" s="14"/>
      <c r="B558" s="14"/>
      <c r="C558" s="14"/>
    </row>
    <row r="559" ht="33.75" customHeight="1">
      <c r="A559" s="14"/>
      <c r="B559" s="14"/>
      <c r="C559" s="14"/>
    </row>
    <row r="560" ht="33.75" customHeight="1">
      <c r="A560" s="14"/>
      <c r="B560" s="14"/>
      <c r="C560" s="14"/>
    </row>
    <row r="561" ht="33.75" customHeight="1">
      <c r="A561" s="14"/>
      <c r="B561" s="14"/>
      <c r="C561" s="14"/>
    </row>
    <row r="562" ht="33.75" customHeight="1">
      <c r="A562" s="14"/>
      <c r="B562" s="14"/>
      <c r="C562" s="14"/>
    </row>
    <row r="563" ht="33.75" customHeight="1">
      <c r="A563" s="14"/>
      <c r="B563" s="14"/>
      <c r="C563" s="14"/>
    </row>
    <row r="564" ht="33.75" customHeight="1">
      <c r="A564" s="14"/>
      <c r="B564" s="14"/>
      <c r="C564" s="14"/>
    </row>
    <row r="565" ht="33.75" customHeight="1">
      <c r="A565" s="14"/>
      <c r="B565" s="14"/>
      <c r="C565" s="14"/>
    </row>
    <row r="566" ht="33.75" customHeight="1">
      <c r="A566" s="14"/>
      <c r="B566" s="14"/>
      <c r="C566" s="14"/>
    </row>
    <row r="567" ht="33.75" customHeight="1">
      <c r="A567" s="14"/>
      <c r="B567" s="14"/>
      <c r="C567" s="14"/>
    </row>
    <row r="568" ht="33.75" customHeight="1">
      <c r="A568" s="14"/>
      <c r="B568" s="14"/>
      <c r="C568" s="14"/>
    </row>
    <row r="569" ht="33.75" customHeight="1">
      <c r="A569" s="14"/>
      <c r="B569" s="14"/>
      <c r="C569" s="14"/>
    </row>
    <row r="570" ht="33.75" customHeight="1">
      <c r="A570" s="14"/>
      <c r="B570" s="14"/>
      <c r="C570" s="14"/>
    </row>
    <row r="571" ht="33.75" customHeight="1">
      <c r="A571" s="14"/>
      <c r="B571" s="14"/>
      <c r="C571" s="14"/>
    </row>
    <row r="572" ht="33.75" customHeight="1">
      <c r="A572" s="14"/>
      <c r="B572" s="14"/>
      <c r="C572" s="14"/>
    </row>
    <row r="573" ht="33.75" customHeight="1">
      <c r="A573" s="14"/>
      <c r="B573" s="14"/>
      <c r="C573" s="14"/>
    </row>
    <row r="574" ht="33.75" customHeight="1">
      <c r="A574" s="14"/>
      <c r="B574" s="14"/>
      <c r="C574" s="14"/>
    </row>
    <row r="575" ht="33.75" customHeight="1">
      <c r="A575" s="14"/>
      <c r="B575" s="14"/>
      <c r="C575" s="14"/>
    </row>
    <row r="576" ht="33.75" customHeight="1">
      <c r="A576" s="14"/>
      <c r="B576" s="14"/>
      <c r="C576" s="14"/>
    </row>
    <row r="577" ht="33.75" customHeight="1">
      <c r="A577" s="14"/>
      <c r="B577" s="14"/>
      <c r="C577" s="14"/>
    </row>
    <row r="578" ht="33.75" customHeight="1">
      <c r="A578" s="14"/>
      <c r="B578" s="14"/>
      <c r="C578" s="14"/>
    </row>
    <row r="579" ht="33.75" customHeight="1">
      <c r="A579" s="14"/>
      <c r="B579" s="14"/>
      <c r="C579" s="14"/>
    </row>
    <row r="580" ht="33.75" customHeight="1">
      <c r="A580" s="14"/>
      <c r="B580" s="14"/>
      <c r="C580" s="14"/>
    </row>
    <row r="581" ht="33.75" customHeight="1">
      <c r="A581" s="14"/>
      <c r="B581" s="14"/>
      <c r="C581" s="14"/>
    </row>
    <row r="582" ht="33.75" customHeight="1">
      <c r="A582" s="14"/>
      <c r="B582" s="14"/>
      <c r="C582" s="14"/>
    </row>
    <row r="583" ht="33.75" customHeight="1">
      <c r="A583" s="14"/>
      <c r="B583" s="14"/>
      <c r="C583" s="14"/>
    </row>
    <row r="584" ht="33.75" customHeight="1">
      <c r="A584" s="14"/>
      <c r="B584" s="14"/>
      <c r="C584" s="14"/>
    </row>
    <row r="585" ht="33.75" customHeight="1">
      <c r="A585" s="14"/>
      <c r="B585" s="14"/>
      <c r="C585" s="14"/>
    </row>
    <row r="586" ht="33.75" customHeight="1">
      <c r="A586" s="14"/>
      <c r="B586" s="14"/>
      <c r="C586" s="14"/>
    </row>
    <row r="587" ht="33.75" customHeight="1">
      <c r="A587" s="14"/>
      <c r="B587" s="14"/>
      <c r="C587" s="14"/>
    </row>
    <row r="588" ht="33.75" customHeight="1">
      <c r="A588" s="14"/>
      <c r="B588" s="14"/>
      <c r="C588" s="14"/>
    </row>
    <row r="589" ht="33.75" customHeight="1">
      <c r="A589" s="14"/>
      <c r="B589" s="14"/>
      <c r="C589" s="14"/>
    </row>
    <row r="590" ht="33.75" customHeight="1">
      <c r="A590" s="14"/>
      <c r="B590" s="14"/>
      <c r="C590" s="14"/>
    </row>
    <row r="591" ht="33.75" customHeight="1">
      <c r="A591" s="14"/>
      <c r="B591" s="14"/>
      <c r="C591" s="14"/>
    </row>
    <row r="592" ht="33.75" customHeight="1">
      <c r="A592" s="14"/>
      <c r="B592" s="14"/>
      <c r="C592" s="14"/>
    </row>
    <row r="593" ht="33.75" customHeight="1">
      <c r="A593" s="14"/>
      <c r="B593" s="14"/>
      <c r="C593" s="14"/>
    </row>
    <row r="594" ht="33.75" customHeight="1">
      <c r="A594" s="14"/>
      <c r="B594" s="14"/>
      <c r="C594" s="14"/>
    </row>
    <row r="595" ht="33.75" customHeight="1">
      <c r="A595" s="14"/>
      <c r="B595" s="14"/>
      <c r="C595" s="14"/>
    </row>
    <row r="596" ht="33.75" customHeight="1">
      <c r="A596" s="14"/>
      <c r="B596" s="14"/>
      <c r="C596" s="14"/>
    </row>
    <row r="597" ht="33.75" customHeight="1">
      <c r="A597" s="14"/>
      <c r="B597" s="14"/>
      <c r="C597" s="14"/>
    </row>
    <row r="598" ht="33.75" customHeight="1">
      <c r="A598" s="14"/>
      <c r="B598" s="14"/>
      <c r="C598" s="14"/>
    </row>
    <row r="599" ht="33.75" customHeight="1">
      <c r="A599" s="14"/>
      <c r="B599" s="14"/>
      <c r="C599" s="14"/>
    </row>
    <row r="600" ht="33.75" customHeight="1">
      <c r="A600" s="14"/>
      <c r="B600" s="14"/>
      <c r="C600" s="14"/>
    </row>
    <row r="601" ht="33.75" customHeight="1">
      <c r="A601" s="14"/>
      <c r="B601" s="14"/>
      <c r="C601" s="14"/>
    </row>
    <row r="602" ht="33.75" customHeight="1">
      <c r="A602" s="14"/>
      <c r="B602" s="14"/>
      <c r="C602" s="14"/>
    </row>
    <row r="603" ht="33.75" customHeight="1">
      <c r="A603" s="14"/>
      <c r="B603" s="14"/>
      <c r="C603" s="14"/>
    </row>
    <row r="604" ht="33.75" customHeight="1">
      <c r="A604" s="14"/>
      <c r="B604" s="14"/>
      <c r="C604" s="14"/>
    </row>
    <row r="605" ht="33.75" customHeight="1">
      <c r="A605" s="14"/>
      <c r="B605" s="14"/>
      <c r="C605" s="14"/>
    </row>
    <row r="606" ht="33.75" customHeight="1">
      <c r="A606" s="14"/>
      <c r="B606" s="14"/>
      <c r="C606" s="14"/>
    </row>
    <row r="607" ht="33.75" customHeight="1">
      <c r="A607" s="14"/>
      <c r="B607" s="14"/>
      <c r="C607" s="14"/>
    </row>
    <row r="608" ht="33.75" customHeight="1">
      <c r="A608" s="14"/>
      <c r="B608" s="14"/>
      <c r="C608" s="14"/>
    </row>
    <row r="609" ht="33.75" customHeight="1">
      <c r="A609" s="14"/>
      <c r="B609" s="14"/>
      <c r="C609" s="14"/>
    </row>
    <row r="610" ht="33.75" customHeight="1">
      <c r="A610" s="14"/>
      <c r="B610" s="14"/>
      <c r="C610" s="14"/>
    </row>
    <row r="611" ht="33.75" customHeight="1">
      <c r="A611" s="14"/>
      <c r="B611" s="14"/>
      <c r="C611" s="14"/>
    </row>
    <row r="612" ht="33.75" customHeight="1">
      <c r="A612" s="14"/>
      <c r="B612" s="14"/>
      <c r="C612" s="14"/>
    </row>
    <row r="613" ht="33.75" customHeight="1">
      <c r="A613" s="14"/>
      <c r="B613" s="14"/>
      <c r="C613" s="14"/>
    </row>
    <row r="614" ht="33.75" customHeight="1">
      <c r="A614" s="14"/>
      <c r="B614" s="14"/>
      <c r="C614" s="14"/>
    </row>
    <row r="615" ht="33.75" customHeight="1">
      <c r="A615" s="14"/>
      <c r="B615" s="14"/>
      <c r="C615" s="14"/>
    </row>
    <row r="616" ht="33.75" customHeight="1">
      <c r="A616" s="14"/>
      <c r="B616" s="14"/>
      <c r="C616" s="14"/>
    </row>
    <row r="617" ht="33.75" customHeight="1">
      <c r="A617" s="14"/>
      <c r="B617" s="14"/>
      <c r="C617" s="14"/>
    </row>
    <row r="618" ht="33.75" customHeight="1">
      <c r="A618" s="14"/>
      <c r="B618" s="14"/>
      <c r="C618" s="14"/>
    </row>
    <row r="619" ht="33.75" customHeight="1">
      <c r="A619" s="14"/>
      <c r="B619" s="14"/>
      <c r="C619" s="14"/>
    </row>
    <row r="620" ht="33.75" customHeight="1">
      <c r="A620" s="14"/>
      <c r="B620" s="14"/>
      <c r="C620" s="14"/>
    </row>
    <row r="621" ht="33.75" customHeight="1">
      <c r="A621" s="14"/>
      <c r="B621" s="14"/>
      <c r="C621" s="14"/>
    </row>
    <row r="622" ht="33.75" customHeight="1">
      <c r="A622" s="14"/>
      <c r="B622" s="14"/>
      <c r="C622" s="14"/>
    </row>
    <row r="623" ht="33.75" customHeight="1">
      <c r="A623" s="14"/>
      <c r="B623" s="14"/>
      <c r="C623" s="14"/>
    </row>
    <row r="624" ht="33.75" customHeight="1">
      <c r="A624" s="14"/>
      <c r="B624" s="14"/>
      <c r="C624" s="14"/>
    </row>
    <row r="625" ht="33.75" customHeight="1">
      <c r="A625" s="14"/>
      <c r="B625" s="14"/>
      <c r="C625" s="14"/>
    </row>
    <row r="626" ht="33.75" customHeight="1">
      <c r="A626" s="14"/>
      <c r="B626" s="14"/>
      <c r="C626" s="14"/>
    </row>
    <row r="627" ht="33.75" customHeight="1">
      <c r="A627" s="14"/>
      <c r="B627" s="14"/>
      <c r="C627" s="14"/>
    </row>
    <row r="628" ht="33.75" customHeight="1">
      <c r="A628" s="14"/>
      <c r="B628" s="14"/>
      <c r="C628" s="14"/>
    </row>
    <row r="629" ht="33.75" customHeight="1">
      <c r="A629" s="14"/>
      <c r="B629" s="14"/>
      <c r="C629" s="14"/>
    </row>
    <row r="630" ht="33.75" customHeight="1">
      <c r="A630" s="14"/>
      <c r="B630" s="14"/>
      <c r="C630" s="14"/>
    </row>
    <row r="631" ht="33.75" customHeight="1">
      <c r="A631" s="14"/>
      <c r="B631" s="14"/>
      <c r="C631" s="14"/>
    </row>
    <row r="632" ht="33.75" customHeight="1">
      <c r="A632" s="14"/>
      <c r="B632" s="14"/>
      <c r="C632" s="14"/>
    </row>
    <row r="633" ht="33.75" customHeight="1">
      <c r="A633" s="14"/>
      <c r="B633" s="14"/>
      <c r="C633" s="14"/>
    </row>
    <row r="634" ht="33.75" customHeight="1">
      <c r="A634" s="14"/>
      <c r="B634" s="14"/>
      <c r="C634" s="14"/>
    </row>
    <row r="635" ht="33.75" customHeight="1">
      <c r="A635" s="14"/>
      <c r="B635" s="14"/>
      <c r="C635" s="14"/>
    </row>
    <row r="636" ht="33.75" customHeight="1">
      <c r="A636" s="14"/>
      <c r="B636" s="14"/>
      <c r="C636" s="14"/>
    </row>
    <row r="637" ht="33.75" customHeight="1">
      <c r="A637" s="14"/>
      <c r="B637" s="14"/>
      <c r="C637" s="14"/>
    </row>
    <row r="638" ht="33.75" customHeight="1">
      <c r="A638" s="14"/>
      <c r="B638" s="14"/>
      <c r="C638" s="14"/>
    </row>
    <row r="639" ht="33.75" customHeight="1">
      <c r="A639" s="14"/>
      <c r="B639" s="14"/>
      <c r="C639" s="14"/>
    </row>
    <row r="640" ht="33.75" customHeight="1">
      <c r="A640" s="14"/>
      <c r="B640" s="14"/>
      <c r="C640" s="14"/>
    </row>
    <row r="641" ht="33.75" customHeight="1">
      <c r="A641" s="14"/>
      <c r="B641" s="14"/>
      <c r="C641" s="14"/>
    </row>
    <row r="642" ht="33.75" customHeight="1">
      <c r="A642" s="14"/>
      <c r="B642" s="14"/>
      <c r="C642" s="14"/>
    </row>
    <row r="643" ht="33.75" customHeight="1">
      <c r="A643" s="14"/>
      <c r="B643" s="14"/>
      <c r="C643" s="14"/>
    </row>
    <row r="644" ht="33.75" customHeight="1">
      <c r="A644" s="14"/>
      <c r="B644" s="14"/>
      <c r="C644" s="14"/>
    </row>
    <row r="645" ht="33.75" customHeight="1">
      <c r="A645" s="14"/>
      <c r="B645" s="14"/>
      <c r="C645" s="14"/>
    </row>
    <row r="646" ht="33.75" customHeight="1">
      <c r="A646" s="14"/>
      <c r="B646" s="14"/>
      <c r="C646" s="14"/>
    </row>
    <row r="647" ht="33.75" customHeight="1">
      <c r="A647" s="14"/>
      <c r="B647" s="14"/>
      <c r="C647" s="14"/>
    </row>
    <row r="648" ht="33.75" customHeight="1">
      <c r="A648" s="14"/>
      <c r="B648" s="14"/>
      <c r="C648" s="14"/>
    </row>
    <row r="649" ht="33.75" customHeight="1">
      <c r="A649" s="14"/>
      <c r="B649" s="14"/>
      <c r="C649" s="14"/>
    </row>
    <row r="650" ht="33.75" customHeight="1">
      <c r="A650" s="14"/>
      <c r="B650" s="14"/>
      <c r="C650" s="14"/>
    </row>
    <row r="651" ht="33.75" customHeight="1">
      <c r="A651" s="14"/>
      <c r="B651" s="14"/>
      <c r="C651" s="14"/>
    </row>
    <row r="652" ht="33.75" customHeight="1">
      <c r="A652" s="14"/>
      <c r="B652" s="14"/>
      <c r="C652" s="14"/>
    </row>
    <row r="653" ht="33.75" customHeight="1">
      <c r="A653" s="14"/>
      <c r="B653" s="14"/>
      <c r="C653" s="14"/>
    </row>
    <row r="654" ht="33.75" customHeight="1">
      <c r="A654" s="14"/>
      <c r="B654" s="14"/>
      <c r="C654" s="14"/>
    </row>
    <row r="655" ht="33.75" customHeight="1">
      <c r="A655" s="14"/>
      <c r="B655" s="14"/>
      <c r="C655" s="14"/>
    </row>
    <row r="656" ht="33.75" customHeight="1">
      <c r="A656" s="14"/>
      <c r="B656" s="14"/>
      <c r="C656" s="14"/>
    </row>
    <row r="657" ht="33.75" customHeight="1">
      <c r="A657" s="14"/>
      <c r="B657" s="14"/>
      <c r="C657" s="14"/>
    </row>
    <row r="658" ht="33.75" customHeight="1">
      <c r="A658" s="14"/>
      <c r="B658" s="14"/>
      <c r="C658" s="14"/>
    </row>
    <row r="659" ht="33.75" customHeight="1">
      <c r="A659" s="14"/>
      <c r="B659" s="14"/>
      <c r="C659" s="14"/>
    </row>
    <row r="660" ht="33.75" customHeight="1">
      <c r="A660" s="14"/>
      <c r="B660" s="14"/>
      <c r="C660" s="14"/>
    </row>
    <row r="661" ht="33.75" customHeight="1">
      <c r="A661" s="14"/>
      <c r="B661" s="14"/>
      <c r="C661" s="14"/>
    </row>
    <row r="662" ht="33.75" customHeight="1">
      <c r="A662" s="14"/>
      <c r="B662" s="14"/>
      <c r="C662" s="14"/>
    </row>
    <row r="663" ht="33.75" customHeight="1">
      <c r="A663" s="14"/>
      <c r="B663" s="14"/>
      <c r="C663" s="14"/>
    </row>
    <row r="664" ht="33.75" customHeight="1">
      <c r="A664" s="14"/>
      <c r="B664" s="14"/>
      <c r="C664" s="14"/>
    </row>
    <row r="665" ht="33.75" customHeight="1">
      <c r="A665" s="14"/>
      <c r="B665" s="14"/>
      <c r="C665" s="14"/>
    </row>
    <row r="666" ht="33.75" customHeight="1">
      <c r="A666" s="14"/>
      <c r="B666" s="14"/>
      <c r="C666" s="14"/>
    </row>
    <row r="667" ht="33.75" customHeight="1">
      <c r="A667" s="14"/>
      <c r="B667" s="14"/>
      <c r="C667" s="14"/>
    </row>
    <row r="668" ht="33.75" customHeight="1">
      <c r="A668" s="14"/>
      <c r="B668" s="14"/>
      <c r="C668" s="14"/>
    </row>
    <row r="669" ht="33.75" customHeight="1">
      <c r="A669" s="14"/>
      <c r="B669" s="14"/>
      <c r="C669" s="14"/>
    </row>
    <row r="670" ht="33.75" customHeight="1">
      <c r="A670" s="14"/>
      <c r="B670" s="14"/>
      <c r="C670" s="14"/>
    </row>
    <row r="671" ht="33.75" customHeight="1">
      <c r="A671" s="14"/>
      <c r="B671" s="14"/>
      <c r="C671" s="14"/>
    </row>
    <row r="672" ht="33.75" customHeight="1">
      <c r="A672" s="14"/>
      <c r="B672" s="14"/>
      <c r="C672" s="14"/>
    </row>
    <row r="673" ht="33.75" customHeight="1">
      <c r="A673" s="14"/>
      <c r="B673" s="14"/>
      <c r="C673" s="14"/>
    </row>
    <row r="674" ht="33.75" customHeight="1">
      <c r="A674" s="14"/>
      <c r="B674" s="14"/>
      <c r="C674" s="14"/>
    </row>
    <row r="675" ht="33.75" customHeight="1">
      <c r="A675" s="14"/>
      <c r="B675" s="14"/>
      <c r="C675" s="14"/>
    </row>
    <row r="676" ht="33.75" customHeight="1">
      <c r="A676" s="14"/>
      <c r="B676" s="14"/>
      <c r="C676" s="14"/>
    </row>
    <row r="677" ht="33.75" customHeight="1">
      <c r="A677" s="14"/>
      <c r="B677" s="14"/>
      <c r="C677" s="14"/>
    </row>
    <row r="678" ht="33.75" customHeight="1">
      <c r="A678" s="14"/>
      <c r="B678" s="14"/>
      <c r="C678" s="14"/>
    </row>
    <row r="679" ht="33.75" customHeight="1">
      <c r="A679" s="14"/>
      <c r="B679" s="14"/>
      <c r="C679" s="14"/>
    </row>
    <row r="680" ht="33.75" customHeight="1">
      <c r="A680" s="14"/>
      <c r="B680" s="14"/>
      <c r="C680" s="14"/>
    </row>
    <row r="681" ht="33.75" customHeight="1">
      <c r="A681" s="14"/>
      <c r="B681" s="14"/>
      <c r="C681" s="14"/>
    </row>
    <row r="682" ht="33.75" customHeight="1">
      <c r="A682" s="14"/>
      <c r="B682" s="14"/>
      <c r="C682" s="14"/>
    </row>
    <row r="683" ht="33.75" customHeight="1">
      <c r="A683" s="14"/>
      <c r="B683" s="14"/>
      <c r="C683" s="14"/>
    </row>
    <row r="684" ht="33.75" customHeight="1">
      <c r="A684" s="14"/>
      <c r="B684" s="14"/>
      <c r="C684" s="14"/>
    </row>
    <row r="685" ht="33.75" customHeight="1">
      <c r="A685" s="14"/>
      <c r="B685" s="14"/>
      <c r="C685" s="14"/>
    </row>
    <row r="686" ht="33.75" customHeight="1">
      <c r="A686" s="14"/>
      <c r="B686" s="14"/>
      <c r="C686" s="14"/>
    </row>
    <row r="687" ht="33.75" customHeight="1">
      <c r="A687" s="14"/>
      <c r="B687" s="14"/>
      <c r="C687" s="14"/>
    </row>
    <row r="688" ht="33.75" customHeight="1">
      <c r="A688" s="14"/>
      <c r="B688" s="14"/>
      <c r="C688" s="14"/>
    </row>
    <row r="689" ht="33.75" customHeight="1">
      <c r="A689" s="14"/>
      <c r="B689" s="14"/>
      <c r="C689" s="14"/>
    </row>
    <row r="690" ht="33.75" customHeight="1">
      <c r="A690" s="14"/>
      <c r="B690" s="14"/>
      <c r="C690" s="14"/>
    </row>
    <row r="691" ht="33.75" customHeight="1">
      <c r="A691" s="14"/>
      <c r="B691" s="14"/>
      <c r="C691" s="14"/>
    </row>
    <row r="692" ht="33.75" customHeight="1">
      <c r="A692" s="14"/>
      <c r="B692" s="14"/>
      <c r="C692" s="14"/>
    </row>
    <row r="693" ht="33.75" customHeight="1">
      <c r="A693" s="14"/>
      <c r="B693" s="14"/>
      <c r="C693" s="14"/>
    </row>
    <row r="694" ht="33.75" customHeight="1">
      <c r="A694" s="14"/>
      <c r="B694" s="14"/>
      <c r="C694" s="14"/>
    </row>
    <row r="695" ht="33.75" customHeight="1">
      <c r="A695" s="14"/>
      <c r="B695" s="14"/>
      <c r="C695" s="14"/>
    </row>
    <row r="696" ht="33.75" customHeight="1">
      <c r="A696" s="14"/>
      <c r="B696" s="14"/>
      <c r="C696" s="14"/>
    </row>
    <row r="697" ht="33.75" customHeight="1">
      <c r="A697" s="14"/>
      <c r="B697" s="14"/>
      <c r="C697" s="14"/>
    </row>
    <row r="698" ht="33.75" customHeight="1">
      <c r="A698" s="14"/>
      <c r="B698" s="14"/>
      <c r="C698" s="14"/>
    </row>
    <row r="699" ht="33.75" customHeight="1">
      <c r="A699" s="14"/>
      <c r="B699" s="14"/>
      <c r="C699" s="14"/>
    </row>
    <row r="700" ht="33.75" customHeight="1">
      <c r="A700" s="14"/>
      <c r="B700" s="14"/>
      <c r="C700" s="14"/>
    </row>
    <row r="701" ht="33.75" customHeight="1">
      <c r="A701" s="14"/>
      <c r="B701" s="14"/>
      <c r="C701" s="14"/>
    </row>
    <row r="702" ht="33.75" customHeight="1">
      <c r="A702" s="14"/>
      <c r="B702" s="14"/>
      <c r="C702" s="14"/>
    </row>
    <row r="703" ht="33.75" customHeight="1">
      <c r="A703" s="14"/>
      <c r="B703" s="14"/>
      <c r="C703" s="14"/>
    </row>
    <row r="704" ht="33.75" customHeight="1">
      <c r="A704" s="14"/>
      <c r="B704" s="14"/>
      <c r="C704" s="14"/>
    </row>
    <row r="705" ht="33.75" customHeight="1">
      <c r="A705" s="14"/>
      <c r="B705" s="14"/>
      <c r="C705" s="14"/>
    </row>
    <row r="706" ht="33.75" customHeight="1">
      <c r="A706" s="14"/>
      <c r="B706" s="14"/>
      <c r="C706" s="14"/>
    </row>
    <row r="707" ht="33.75" customHeight="1">
      <c r="A707" s="14"/>
      <c r="B707" s="14"/>
      <c r="C707" s="14"/>
    </row>
    <row r="708" ht="33.75" customHeight="1">
      <c r="A708" s="14"/>
      <c r="B708" s="14"/>
      <c r="C708" s="14"/>
    </row>
    <row r="709" ht="33.75" customHeight="1">
      <c r="A709" s="14"/>
      <c r="B709" s="14"/>
      <c r="C709" s="14"/>
    </row>
    <row r="710" ht="33.75" customHeight="1">
      <c r="A710" s="14"/>
      <c r="B710" s="14"/>
      <c r="C710" s="14"/>
    </row>
    <row r="711" ht="33.75" customHeight="1">
      <c r="A711" s="14"/>
      <c r="B711" s="14"/>
      <c r="C711" s="14"/>
    </row>
    <row r="712" ht="33.75" customHeight="1">
      <c r="A712" s="14"/>
      <c r="B712" s="14"/>
      <c r="C712" s="14"/>
    </row>
    <row r="713" ht="33.75" customHeight="1">
      <c r="A713" s="14"/>
      <c r="B713" s="14"/>
      <c r="C713" s="14"/>
    </row>
    <row r="714" ht="33.75" customHeight="1">
      <c r="A714" s="14"/>
      <c r="B714" s="14"/>
      <c r="C714" s="14"/>
    </row>
    <row r="715" ht="33.75" customHeight="1">
      <c r="A715" s="14"/>
      <c r="B715" s="14"/>
      <c r="C715" s="14"/>
    </row>
    <row r="716" ht="33.75" customHeight="1">
      <c r="A716" s="14"/>
      <c r="B716" s="14"/>
      <c r="C716" s="14"/>
    </row>
    <row r="717" ht="33.75" customHeight="1">
      <c r="A717" s="14"/>
      <c r="B717" s="14"/>
      <c r="C717" s="14"/>
    </row>
    <row r="718" ht="33.75" customHeight="1">
      <c r="A718" s="14"/>
      <c r="B718" s="14"/>
      <c r="C718" s="14"/>
    </row>
    <row r="719" ht="33.75" customHeight="1">
      <c r="A719" s="14"/>
      <c r="B719" s="14"/>
      <c r="C719" s="14"/>
    </row>
    <row r="720" ht="33.75" customHeight="1">
      <c r="A720" s="14"/>
      <c r="B720" s="14"/>
      <c r="C720" s="14"/>
    </row>
    <row r="721" ht="33.75" customHeight="1">
      <c r="A721" s="14"/>
      <c r="B721" s="14"/>
      <c r="C721" s="14"/>
    </row>
    <row r="722" ht="33.75" customHeight="1">
      <c r="A722" s="14"/>
      <c r="B722" s="14"/>
      <c r="C722" s="14"/>
    </row>
    <row r="723" ht="33.75" customHeight="1">
      <c r="A723" s="14"/>
      <c r="B723" s="14"/>
      <c r="C723" s="14"/>
    </row>
    <row r="724" ht="33.75" customHeight="1">
      <c r="A724" s="14"/>
      <c r="B724" s="14"/>
      <c r="C724" s="14"/>
    </row>
    <row r="725" ht="33.75" customHeight="1">
      <c r="A725" s="14"/>
      <c r="B725" s="14"/>
      <c r="C725" s="14"/>
    </row>
    <row r="726" ht="33.75" customHeight="1">
      <c r="A726" s="14"/>
      <c r="B726" s="14"/>
      <c r="C726" s="14"/>
    </row>
    <row r="727" ht="33.75" customHeight="1">
      <c r="A727" s="14"/>
      <c r="B727" s="14"/>
      <c r="C727" s="14"/>
    </row>
    <row r="728" ht="33.75" customHeight="1">
      <c r="A728" s="14"/>
      <c r="B728" s="14"/>
      <c r="C728" s="14"/>
    </row>
    <row r="729" ht="33.75" customHeight="1">
      <c r="A729" s="14"/>
      <c r="B729" s="14"/>
      <c r="C729" s="14"/>
    </row>
    <row r="730" ht="33.75" customHeight="1">
      <c r="A730" s="14"/>
      <c r="B730" s="14"/>
      <c r="C730" s="14"/>
    </row>
    <row r="731" ht="33.75" customHeight="1">
      <c r="A731" s="14"/>
      <c r="B731" s="14"/>
      <c r="C731" s="14"/>
    </row>
    <row r="732" ht="33.75" customHeight="1">
      <c r="A732" s="14"/>
      <c r="B732" s="14"/>
      <c r="C732" s="14"/>
    </row>
    <row r="733" ht="33.75" customHeight="1">
      <c r="A733" s="14"/>
      <c r="B733" s="14"/>
      <c r="C733" s="14"/>
    </row>
    <row r="734" ht="33.75" customHeight="1">
      <c r="A734" s="14"/>
      <c r="B734" s="14"/>
      <c r="C734" s="14"/>
    </row>
    <row r="735" ht="33.75" customHeight="1">
      <c r="A735" s="14"/>
      <c r="B735" s="14"/>
      <c r="C735" s="14"/>
    </row>
    <row r="736" ht="33.75" customHeight="1">
      <c r="A736" s="14"/>
      <c r="B736" s="14"/>
      <c r="C736" s="14"/>
    </row>
    <row r="737" ht="33.75" customHeight="1">
      <c r="A737" s="14"/>
      <c r="B737" s="14"/>
      <c r="C737" s="14"/>
    </row>
    <row r="738" ht="33.75" customHeight="1">
      <c r="A738" s="14"/>
      <c r="B738" s="14"/>
      <c r="C738" s="14"/>
    </row>
    <row r="739" ht="33.75" customHeight="1">
      <c r="A739" s="14"/>
      <c r="B739" s="14"/>
      <c r="C739" s="14"/>
    </row>
    <row r="740" ht="33.75" customHeight="1">
      <c r="A740" s="14"/>
      <c r="B740" s="14"/>
      <c r="C740" s="14"/>
    </row>
    <row r="741" ht="33.75" customHeight="1">
      <c r="A741" s="14"/>
      <c r="B741" s="14"/>
      <c r="C741" s="14"/>
    </row>
    <row r="742" ht="33.75" customHeight="1">
      <c r="A742" s="14"/>
      <c r="B742" s="14"/>
      <c r="C742" s="14"/>
    </row>
    <row r="743" ht="33.75" customHeight="1">
      <c r="A743" s="14"/>
      <c r="B743" s="14"/>
      <c r="C743" s="14"/>
    </row>
    <row r="744" ht="33.75" customHeight="1">
      <c r="A744" s="14"/>
      <c r="B744" s="14"/>
      <c r="C744" s="14"/>
    </row>
    <row r="745" ht="33.75" customHeight="1">
      <c r="A745" s="14"/>
      <c r="B745" s="14"/>
      <c r="C745" s="14"/>
    </row>
    <row r="746" ht="33.75" customHeight="1">
      <c r="A746" s="14"/>
      <c r="B746" s="14"/>
      <c r="C746" s="14"/>
    </row>
    <row r="747" ht="33.75" customHeight="1">
      <c r="A747" s="14"/>
      <c r="B747" s="14"/>
      <c r="C747" s="14"/>
    </row>
    <row r="748" ht="33.75" customHeight="1">
      <c r="A748" s="14"/>
      <c r="B748" s="14"/>
      <c r="C748" s="14"/>
    </row>
    <row r="749" ht="33.75" customHeight="1">
      <c r="A749" s="14"/>
      <c r="B749" s="14"/>
      <c r="C749" s="14"/>
    </row>
    <row r="750" ht="33.75" customHeight="1">
      <c r="A750" s="14"/>
      <c r="B750" s="14"/>
      <c r="C750" s="14"/>
    </row>
    <row r="751" ht="33.75" customHeight="1">
      <c r="A751" s="14"/>
      <c r="B751" s="14"/>
      <c r="C751" s="14"/>
    </row>
    <row r="752" ht="33.75" customHeight="1">
      <c r="A752" s="14"/>
      <c r="B752" s="14"/>
      <c r="C752" s="14"/>
    </row>
    <row r="753" ht="33.75" customHeight="1">
      <c r="A753" s="14"/>
      <c r="B753" s="14"/>
      <c r="C753" s="14"/>
    </row>
    <row r="754" ht="33.75" customHeight="1">
      <c r="A754" s="14"/>
      <c r="B754" s="14"/>
      <c r="C754" s="14"/>
    </row>
    <row r="755" ht="33.75" customHeight="1">
      <c r="A755" s="14"/>
      <c r="B755" s="14"/>
      <c r="C755" s="14"/>
    </row>
    <row r="756" ht="33.75" customHeight="1">
      <c r="A756" s="14"/>
      <c r="B756" s="14"/>
      <c r="C756" s="14"/>
    </row>
    <row r="757" ht="33.75" customHeight="1">
      <c r="A757" s="14"/>
      <c r="B757" s="14"/>
      <c r="C757" s="14"/>
    </row>
    <row r="758" ht="33.75" customHeight="1">
      <c r="A758" s="14"/>
      <c r="B758" s="14"/>
      <c r="C758" s="14"/>
    </row>
    <row r="759" ht="33.75" customHeight="1">
      <c r="A759" s="14"/>
      <c r="B759" s="14"/>
      <c r="C759" s="14"/>
    </row>
    <row r="760" ht="33.75" customHeight="1">
      <c r="A760" s="14"/>
      <c r="B760" s="14"/>
      <c r="C760" s="14"/>
    </row>
    <row r="761" ht="33.75" customHeight="1">
      <c r="A761" s="14"/>
      <c r="B761" s="14"/>
      <c r="C761" s="14"/>
    </row>
    <row r="762" ht="33.75" customHeight="1">
      <c r="A762" s="14"/>
      <c r="B762" s="14"/>
      <c r="C762" s="14"/>
    </row>
    <row r="763" ht="33.75" customHeight="1">
      <c r="A763" s="14"/>
      <c r="B763" s="14"/>
      <c r="C763" s="14"/>
    </row>
    <row r="764" ht="33.75" customHeight="1">
      <c r="A764" s="14"/>
      <c r="B764" s="14"/>
      <c r="C764" s="14"/>
    </row>
    <row r="765" ht="33.75" customHeight="1">
      <c r="A765" s="14"/>
      <c r="B765" s="14"/>
      <c r="C765" s="14"/>
    </row>
    <row r="766" ht="33.75" customHeight="1">
      <c r="A766" s="14"/>
      <c r="B766" s="14"/>
      <c r="C766" s="14"/>
    </row>
    <row r="767" ht="33.75" customHeight="1">
      <c r="A767" s="14"/>
      <c r="B767" s="14"/>
      <c r="C767" s="14"/>
    </row>
    <row r="768" ht="33.75" customHeight="1">
      <c r="A768" s="14"/>
      <c r="B768" s="14"/>
      <c r="C768" s="14"/>
    </row>
    <row r="769" ht="33.75" customHeight="1">
      <c r="A769" s="14"/>
      <c r="B769" s="14"/>
      <c r="C769" s="14"/>
    </row>
    <row r="770" ht="33.75" customHeight="1">
      <c r="A770" s="14"/>
      <c r="B770" s="14"/>
      <c r="C770" s="14"/>
    </row>
    <row r="771" ht="33.75" customHeight="1">
      <c r="A771" s="14"/>
      <c r="B771" s="14"/>
      <c r="C771" s="14"/>
    </row>
    <row r="772" ht="33.75" customHeight="1">
      <c r="A772" s="14"/>
      <c r="B772" s="14"/>
      <c r="C772" s="14"/>
    </row>
    <row r="773" ht="33.75" customHeight="1">
      <c r="A773" s="14"/>
      <c r="B773" s="14"/>
      <c r="C773" s="14"/>
    </row>
    <row r="774" ht="33.75" customHeight="1">
      <c r="A774" s="14"/>
      <c r="B774" s="14"/>
      <c r="C774" s="14"/>
    </row>
    <row r="775" ht="33.75" customHeight="1">
      <c r="A775" s="14"/>
      <c r="B775" s="14"/>
      <c r="C775" s="14"/>
    </row>
    <row r="776" ht="33.75" customHeight="1">
      <c r="A776" s="14"/>
      <c r="B776" s="14"/>
      <c r="C776" s="14"/>
    </row>
    <row r="777" ht="33.75" customHeight="1">
      <c r="A777" s="14"/>
      <c r="B777" s="14"/>
      <c r="C777" s="14"/>
    </row>
    <row r="778" ht="33.75" customHeight="1">
      <c r="A778" s="14"/>
      <c r="B778" s="14"/>
      <c r="C778" s="14"/>
    </row>
    <row r="779" ht="33.75" customHeight="1">
      <c r="A779" s="14"/>
      <c r="B779" s="14"/>
      <c r="C779" s="14"/>
    </row>
    <row r="780" ht="33.75" customHeight="1">
      <c r="A780" s="14"/>
      <c r="B780" s="14"/>
      <c r="C780" s="14"/>
    </row>
    <row r="781" ht="33.75" customHeight="1">
      <c r="A781" s="14"/>
      <c r="B781" s="14"/>
      <c r="C781" s="14"/>
    </row>
    <row r="782" ht="33.75" customHeight="1">
      <c r="A782" s="14"/>
      <c r="B782" s="14"/>
      <c r="C782" s="14"/>
    </row>
    <row r="783" ht="33.75" customHeight="1">
      <c r="A783" s="14"/>
      <c r="B783" s="14"/>
      <c r="C783" s="14"/>
    </row>
    <row r="784" ht="33.75" customHeight="1">
      <c r="A784" s="14"/>
      <c r="B784" s="14"/>
      <c r="C784" s="14"/>
    </row>
    <row r="785" ht="33.75" customHeight="1">
      <c r="A785" s="14"/>
      <c r="B785" s="14"/>
      <c r="C785" s="14"/>
    </row>
    <row r="786" ht="33.75" customHeight="1">
      <c r="A786" s="14"/>
      <c r="B786" s="14"/>
      <c r="C786" s="14"/>
    </row>
    <row r="787" ht="33.75" customHeight="1">
      <c r="A787" s="14"/>
      <c r="B787" s="14"/>
      <c r="C787" s="14"/>
    </row>
    <row r="788" ht="33.75" customHeight="1">
      <c r="A788" s="14"/>
      <c r="B788" s="14"/>
      <c r="C788" s="14"/>
    </row>
    <row r="789" ht="33.75" customHeight="1">
      <c r="A789" s="14"/>
      <c r="B789" s="14"/>
      <c r="C789" s="14"/>
    </row>
    <row r="790" ht="33.75" customHeight="1">
      <c r="A790" s="14"/>
      <c r="B790" s="14"/>
      <c r="C790" s="14"/>
    </row>
    <row r="791" ht="33.75" customHeight="1">
      <c r="A791" s="14"/>
      <c r="B791" s="14"/>
      <c r="C791" s="14"/>
    </row>
    <row r="792" ht="33.75" customHeight="1">
      <c r="A792" s="14"/>
      <c r="B792" s="14"/>
      <c r="C792" s="14"/>
    </row>
    <row r="793" ht="33.75" customHeight="1">
      <c r="A793" s="14"/>
      <c r="B793" s="14"/>
      <c r="C793" s="14"/>
    </row>
    <row r="794" ht="33.75" customHeight="1">
      <c r="A794" s="14"/>
      <c r="B794" s="14"/>
      <c r="C794" s="14"/>
    </row>
    <row r="795" ht="33.75" customHeight="1">
      <c r="A795" s="14"/>
      <c r="B795" s="14"/>
      <c r="C795" s="14"/>
    </row>
    <row r="796" ht="33.75" customHeight="1">
      <c r="A796" s="14"/>
      <c r="B796" s="14"/>
      <c r="C796" s="14"/>
    </row>
    <row r="797" ht="33.75" customHeight="1">
      <c r="A797" s="14"/>
      <c r="B797" s="14"/>
      <c r="C797" s="14"/>
    </row>
    <row r="798" ht="33.75" customHeight="1">
      <c r="A798" s="14"/>
      <c r="B798" s="14"/>
      <c r="C798" s="14"/>
    </row>
    <row r="799" ht="33.75" customHeight="1">
      <c r="A799" s="14"/>
      <c r="B799" s="14"/>
      <c r="C799" s="14"/>
    </row>
    <row r="800" ht="33.75" customHeight="1">
      <c r="A800" s="14"/>
      <c r="B800" s="14"/>
      <c r="C800" s="14"/>
    </row>
    <row r="801" ht="33.75" customHeight="1">
      <c r="A801" s="14"/>
      <c r="B801" s="14"/>
      <c r="C801" s="14"/>
    </row>
    <row r="802" ht="33.75" customHeight="1">
      <c r="A802" s="14"/>
      <c r="B802" s="14"/>
      <c r="C802" s="14"/>
    </row>
    <row r="803" ht="33.75" customHeight="1">
      <c r="A803" s="14"/>
      <c r="B803" s="14"/>
      <c r="C803" s="14"/>
    </row>
    <row r="804" ht="33.75" customHeight="1">
      <c r="A804" s="14"/>
      <c r="B804" s="14"/>
      <c r="C804" s="14"/>
    </row>
    <row r="805" ht="33.75" customHeight="1">
      <c r="A805" s="14"/>
      <c r="B805" s="14"/>
      <c r="C805" s="14"/>
    </row>
    <row r="806" ht="33.75" customHeight="1">
      <c r="A806" s="14"/>
      <c r="B806" s="14"/>
      <c r="C806" s="14"/>
    </row>
    <row r="807" ht="33.75" customHeight="1">
      <c r="A807" s="14"/>
      <c r="B807" s="14"/>
      <c r="C807" s="14"/>
    </row>
    <row r="808" ht="33.75" customHeight="1">
      <c r="A808" s="14"/>
      <c r="B808" s="14"/>
      <c r="C808" s="14"/>
    </row>
    <row r="809" ht="33.75" customHeight="1">
      <c r="A809" s="14"/>
      <c r="B809" s="14"/>
      <c r="C809" s="14"/>
    </row>
    <row r="810" ht="33.75" customHeight="1">
      <c r="A810" s="14"/>
      <c r="B810" s="14"/>
      <c r="C810" s="14"/>
    </row>
    <row r="811" ht="33.75" customHeight="1">
      <c r="A811" s="14"/>
      <c r="B811" s="14"/>
      <c r="C811" s="14"/>
    </row>
    <row r="812" ht="33.75" customHeight="1">
      <c r="A812" s="14"/>
      <c r="B812" s="14"/>
      <c r="C812" s="14"/>
    </row>
    <row r="813" ht="33.75" customHeight="1">
      <c r="A813" s="14"/>
      <c r="B813" s="14"/>
      <c r="C813" s="14"/>
    </row>
    <row r="814" ht="33.75" customHeight="1">
      <c r="A814" s="14"/>
      <c r="B814" s="14"/>
      <c r="C814" s="14"/>
    </row>
    <row r="815" ht="33.75" customHeight="1">
      <c r="A815" s="14"/>
      <c r="B815" s="14"/>
      <c r="C815" s="14"/>
    </row>
    <row r="816" ht="33.75" customHeight="1">
      <c r="A816" s="14"/>
      <c r="B816" s="14"/>
      <c r="C816" s="14"/>
    </row>
    <row r="817" ht="33.75" customHeight="1">
      <c r="A817" s="14"/>
      <c r="B817" s="14"/>
      <c r="C817" s="14"/>
    </row>
    <row r="818" ht="33.75" customHeight="1">
      <c r="A818" s="14"/>
      <c r="B818" s="14"/>
      <c r="C818" s="14"/>
    </row>
    <row r="819" ht="33.75" customHeight="1">
      <c r="A819" s="14"/>
      <c r="B819" s="14"/>
      <c r="C819" s="14"/>
    </row>
    <row r="820" ht="33.75" customHeight="1">
      <c r="A820" s="14"/>
      <c r="B820" s="14"/>
      <c r="C820" s="14"/>
    </row>
    <row r="821" ht="33.75" customHeight="1">
      <c r="A821" s="14"/>
      <c r="B821" s="14"/>
      <c r="C821" s="14"/>
    </row>
    <row r="822" ht="33.75" customHeight="1">
      <c r="A822" s="14"/>
      <c r="B822" s="14"/>
      <c r="C822" s="14"/>
    </row>
    <row r="823" ht="33.75" customHeight="1">
      <c r="A823" s="14"/>
      <c r="B823" s="14"/>
      <c r="C823" s="14"/>
    </row>
    <row r="824" ht="33.75" customHeight="1">
      <c r="A824" s="14"/>
      <c r="B824" s="14"/>
      <c r="C824" s="14"/>
    </row>
    <row r="825" ht="33.75" customHeight="1">
      <c r="A825" s="14"/>
      <c r="B825" s="14"/>
      <c r="C825" s="14"/>
    </row>
    <row r="826" ht="33.75" customHeight="1">
      <c r="A826" s="14"/>
      <c r="B826" s="14"/>
      <c r="C826" s="14"/>
    </row>
    <row r="827" ht="33.75" customHeight="1">
      <c r="A827" s="14"/>
      <c r="B827" s="14"/>
      <c r="C827" s="14"/>
    </row>
    <row r="828" ht="33.75" customHeight="1">
      <c r="A828" s="14"/>
      <c r="B828" s="14"/>
      <c r="C828" s="14"/>
    </row>
    <row r="829" ht="33.75" customHeight="1">
      <c r="A829" s="14"/>
      <c r="B829" s="14"/>
      <c r="C829" s="14"/>
    </row>
    <row r="830" ht="33.75" customHeight="1">
      <c r="A830" s="14"/>
      <c r="B830" s="14"/>
      <c r="C830" s="14"/>
    </row>
    <row r="831" ht="33.75" customHeight="1">
      <c r="A831" s="14"/>
      <c r="B831" s="14"/>
      <c r="C831" s="14"/>
    </row>
    <row r="832" ht="33.75" customHeight="1">
      <c r="A832" s="14"/>
      <c r="B832" s="14"/>
      <c r="C832" s="14"/>
    </row>
    <row r="833" ht="33.75" customHeight="1">
      <c r="A833" s="14"/>
      <c r="B833" s="14"/>
      <c r="C833" s="14"/>
    </row>
    <row r="834" ht="33.75" customHeight="1">
      <c r="A834" s="14"/>
      <c r="B834" s="14"/>
      <c r="C834" s="14"/>
    </row>
    <row r="835" ht="33.75" customHeight="1">
      <c r="A835" s="14"/>
      <c r="B835" s="14"/>
      <c r="C835" s="14"/>
    </row>
    <row r="836" ht="33.75" customHeight="1">
      <c r="A836" s="14"/>
      <c r="B836" s="14"/>
      <c r="C836" s="14"/>
    </row>
    <row r="837" ht="33.75" customHeight="1">
      <c r="A837" s="14"/>
      <c r="B837" s="14"/>
      <c r="C837" s="14"/>
    </row>
    <row r="838" ht="33.75" customHeight="1">
      <c r="A838" s="14"/>
      <c r="B838" s="14"/>
      <c r="C838" s="14"/>
    </row>
    <row r="839" ht="33.75" customHeight="1">
      <c r="A839" s="14"/>
      <c r="B839" s="14"/>
      <c r="C839" s="14"/>
    </row>
    <row r="840" ht="33.75" customHeight="1">
      <c r="A840" s="14"/>
      <c r="B840" s="14"/>
      <c r="C840" s="14"/>
    </row>
    <row r="841" ht="33.75" customHeight="1">
      <c r="A841" s="14"/>
      <c r="B841" s="14"/>
      <c r="C841" s="14"/>
    </row>
    <row r="842" ht="33.75" customHeight="1">
      <c r="A842" s="14"/>
      <c r="B842" s="14"/>
      <c r="C842" s="14"/>
    </row>
    <row r="843" ht="33.75" customHeight="1">
      <c r="A843" s="14"/>
      <c r="B843" s="14"/>
      <c r="C843" s="14"/>
    </row>
    <row r="844" ht="33.75" customHeight="1">
      <c r="A844" s="14"/>
      <c r="B844" s="14"/>
      <c r="C844" s="14"/>
    </row>
    <row r="845" ht="33.75" customHeight="1">
      <c r="A845" s="14"/>
      <c r="B845" s="14"/>
      <c r="C845" s="14"/>
    </row>
    <row r="846" ht="33.75" customHeight="1">
      <c r="A846" s="14"/>
      <c r="B846" s="14"/>
      <c r="C846" s="14"/>
    </row>
    <row r="847" ht="33.75" customHeight="1">
      <c r="A847" s="14"/>
      <c r="B847" s="14"/>
      <c r="C847" s="14"/>
    </row>
    <row r="848" ht="33.75" customHeight="1">
      <c r="A848" s="14"/>
      <c r="B848" s="14"/>
      <c r="C848" s="14"/>
    </row>
    <row r="849" ht="33.75" customHeight="1">
      <c r="A849" s="14"/>
      <c r="B849" s="14"/>
      <c r="C849" s="14"/>
    </row>
    <row r="850" ht="33.75" customHeight="1">
      <c r="A850" s="14"/>
      <c r="B850" s="14"/>
      <c r="C850" s="14"/>
    </row>
    <row r="851" ht="33.75" customHeight="1">
      <c r="A851" s="14"/>
      <c r="B851" s="14"/>
      <c r="C851" s="14"/>
    </row>
    <row r="852" ht="33.75" customHeight="1">
      <c r="A852" s="14"/>
      <c r="B852" s="14"/>
      <c r="C852" s="14"/>
    </row>
    <row r="853" ht="33.75" customHeight="1">
      <c r="A853" s="14"/>
      <c r="B853" s="14"/>
      <c r="C853" s="14"/>
    </row>
    <row r="854" ht="33.75" customHeight="1">
      <c r="A854" s="14"/>
      <c r="B854" s="14"/>
      <c r="C854" s="14"/>
    </row>
    <row r="855" ht="33.75" customHeight="1">
      <c r="A855" s="14"/>
      <c r="B855" s="14"/>
      <c r="C855" s="14"/>
    </row>
    <row r="856" ht="33.75" customHeight="1">
      <c r="A856" s="14"/>
      <c r="B856" s="14"/>
      <c r="C856" s="14"/>
    </row>
    <row r="857" ht="33.75" customHeight="1">
      <c r="A857" s="14"/>
      <c r="B857" s="14"/>
      <c r="C857" s="14"/>
    </row>
    <row r="858" ht="33.75" customHeight="1">
      <c r="A858" s="14"/>
      <c r="B858" s="14"/>
      <c r="C858" s="14"/>
    </row>
    <row r="859" ht="33.75" customHeight="1">
      <c r="A859" s="14"/>
      <c r="B859" s="14"/>
      <c r="C859" s="14"/>
    </row>
    <row r="860" ht="33.75" customHeight="1">
      <c r="A860" s="14"/>
      <c r="B860" s="14"/>
      <c r="C860" s="14"/>
    </row>
    <row r="861" ht="33.75" customHeight="1">
      <c r="A861" s="14"/>
      <c r="B861" s="14"/>
      <c r="C861" s="14"/>
    </row>
    <row r="862" ht="33.75" customHeight="1">
      <c r="A862" s="14"/>
      <c r="B862" s="14"/>
      <c r="C862" s="14"/>
    </row>
    <row r="863" ht="33.75" customHeight="1">
      <c r="A863" s="14"/>
      <c r="B863" s="14"/>
      <c r="C863" s="14"/>
    </row>
    <row r="864" ht="33.75" customHeight="1">
      <c r="A864" s="14"/>
      <c r="B864" s="14"/>
      <c r="C864" s="14"/>
    </row>
    <row r="865" ht="33.75" customHeight="1">
      <c r="A865" s="14"/>
      <c r="B865" s="14"/>
      <c r="C865" s="14"/>
    </row>
    <row r="866" ht="33.75" customHeight="1">
      <c r="A866" s="14"/>
      <c r="B866" s="14"/>
      <c r="C866" s="14"/>
    </row>
    <row r="867" ht="33.75" customHeight="1">
      <c r="A867" s="14"/>
      <c r="B867" s="14"/>
      <c r="C867" s="14"/>
    </row>
    <row r="868" ht="33.75" customHeight="1">
      <c r="A868" s="14"/>
      <c r="B868" s="14"/>
      <c r="C868" s="14"/>
    </row>
    <row r="869" ht="33.75" customHeight="1">
      <c r="A869" s="14"/>
      <c r="B869" s="14"/>
      <c r="C869" s="14"/>
    </row>
    <row r="870" ht="33.75" customHeight="1">
      <c r="A870" s="14"/>
      <c r="B870" s="14"/>
      <c r="C870" s="14"/>
    </row>
    <row r="871" ht="33.75" customHeight="1">
      <c r="A871" s="14"/>
      <c r="B871" s="14"/>
      <c r="C871" s="14"/>
    </row>
    <row r="872" ht="33.75" customHeight="1">
      <c r="A872" s="14"/>
      <c r="B872" s="14"/>
      <c r="C872" s="14"/>
    </row>
    <row r="873" ht="33.75" customHeight="1">
      <c r="A873" s="14"/>
      <c r="B873" s="14"/>
      <c r="C873" s="14"/>
    </row>
    <row r="874" ht="33.75" customHeight="1">
      <c r="A874" s="14"/>
      <c r="B874" s="14"/>
      <c r="C874" s="14"/>
    </row>
    <row r="875" ht="33.75" customHeight="1">
      <c r="A875" s="14"/>
      <c r="B875" s="14"/>
      <c r="C875" s="14"/>
    </row>
    <row r="876" ht="33.75" customHeight="1">
      <c r="A876" s="14"/>
      <c r="B876" s="14"/>
      <c r="C876" s="14"/>
    </row>
    <row r="877" ht="33.75" customHeight="1">
      <c r="A877" s="14"/>
      <c r="B877" s="14"/>
      <c r="C877" s="14"/>
    </row>
    <row r="878" ht="33.75" customHeight="1">
      <c r="A878" s="14"/>
      <c r="B878" s="14"/>
      <c r="C878" s="14"/>
    </row>
    <row r="879" ht="33.75" customHeight="1">
      <c r="A879" s="14"/>
      <c r="B879" s="14"/>
      <c r="C879" s="14"/>
    </row>
    <row r="880" ht="33.75" customHeight="1">
      <c r="A880" s="14"/>
      <c r="B880" s="14"/>
      <c r="C880" s="14"/>
    </row>
    <row r="881" ht="33.75" customHeight="1">
      <c r="A881" s="14"/>
      <c r="B881" s="14"/>
      <c r="C881" s="14"/>
    </row>
    <row r="882" ht="33.75" customHeight="1">
      <c r="A882" s="14"/>
      <c r="B882" s="14"/>
      <c r="C882" s="14"/>
    </row>
    <row r="883" ht="33.75" customHeight="1">
      <c r="A883" s="14"/>
      <c r="B883" s="14"/>
      <c r="C883" s="14"/>
    </row>
    <row r="884" ht="33.75" customHeight="1">
      <c r="A884" s="14"/>
      <c r="B884" s="14"/>
      <c r="C884" s="14"/>
    </row>
    <row r="885" ht="33.75" customHeight="1">
      <c r="A885" s="14"/>
      <c r="B885" s="14"/>
      <c r="C885" s="14"/>
    </row>
    <row r="886" ht="33.75" customHeight="1">
      <c r="A886" s="14"/>
      <c r="B886" s="14"/>
      <c r="C886" s="14"/>
    </row>
    <row r="887" ht="33.75" customHeight="1">
      <c r="A887" s="14"/>
      <c r="B887" s="14"/>
      <c r="C887" s="14"/>
    </row>
    <row r="888" ht="33.75" customHeight="1">
      <c r="A888" s="14"/>
      <c r="B888" s="14"/>
      <c r="C888" s="14"/>
    </row>
    <row r="889" ht="33.75" customHeight="1">
      <c r="A889" s="14"/>
      <c r="B889" s="14"/>
      <c r="C889" s="14"/>
    </row>
    <row r="890" ht="33.75" customHeight="1">
      <c r="A890" s="14"/>
      <c r="B890" s="14"/>
      <c r="C890" s="14"/>
    </row>
    <row r="891" ht="33.75" customHeight="1">
      <c r="A891" s="14"/>
      <c r="B891" s="14"/>
      <c r="C891" s="14"/>
    </row>
    <row r="892" ht="33.75" customHeight="1">
      <c r="A892" s="14"/>
      <c r="B892" s="14"/>
      <c r="C892" s="14"/>
    </row>
    <row r="893" ht="33.75" customHeight="1">
      <c r="A893" s="14"/>
      <c r="B893" s="14"/>
      <c r="C893" s="14"/>
    </row>
    <row r="894" ht="33.75" customHeight="1">
      <c r="A894" s="14"/>
      <c r="B894" s="14"/>
      <c r="C894" s="14"/>
    </row>
    <row r="895" ht="33.75" customHeight="1">
      <c r="A895" s="14"/>
      <c r="B895" s="14"/>
      <c r="C895" s="14"/>
    </row>
    <row r="896" ht="33.75" customHeight="1">
      <c r="A896" s="14"/>
      <c r="B896" s="14"/>
      <c r="C896" s="14"/>
    </row>
    <row r="897" ht="33.75" customHeight="1">
      <c r="A897" s="14"/>
      <c r="B897" s="14"/>
      <c r="C897" s="14"/>
    </row>
    <row r="898" ht="33.75" customHeight="1">
      <c r="A898" s="14"/>
      <c r="B898" s="14"/>
      <c r="C898" s="14"/>
    </row>
    <row r="899" ht="33.75" customHeight="1">
      <c r="A899" s="14"/>
      <c r="B899" s="14"/>
      <c r="C899" s="14"/>
    </row>
    <row r="900" ht="33.75" customHeight="1">
      <c r="A900" s="14"/>
      <c r="B900" s="14"/>
      <c r="C900" s="14"/>
    </row>
    <row r="901" ht="33.75" customHeight="1">
      <c r="A901" s="14"/>
      <c r="B901" s="14"/>
      <c r="C901" s="14"/>
    </row>
    <row r="902" ht="33.75" customHeight="1">
      <c r="A902" s="14"/>
      <c r="B902" s="14"/>
      <c r="C902" s="14"/>
    </row>
    <row r="903" ht="33.75" customHeight="1">
      <c r="A903" s="14"/>
      <c r="B903" s="14"/>
      <c r="C903" s="14"/>
    </row>
    <row r="904" ht="33.75" customHeight="1">
      <c r="A904" s="14"/>
      <c r="B904" s="14"/>
      <c r="C904" s="14"/>
    </row>
    <row r="905" ht="33.75" customHeight="1">
      <c r="A905" s="14"/>
      <c r="B905" s="14"/>
      <c r="C905" s="14"/>
    </row>
    <row r="906" ht="33.75" customHeight="1">
      <c r="A906" s="14"/>
      <c r="B906" s="14"/>
      <c r="C906" s="14"/>
    </row>
    <row r="907" ht="33.75" customHeight="1">
      <c r="A907" s="14"/>
      <c r="B907" s="14"/>
      <c r="C907" s="14"/>
    </row>
    <row r="908" ht="33.75" customHeight="1">
      <c r="A908" s="14"/>
      <c r="B908" s="14"/>
      <c r="C908" s="14"/>
    </row>
    <row r="909" ht="33.75" customHeight="1">
      <c r="A909" s="14"/>
      <c r="B909" s="14"/>
      <c r="C909" s="14"/>
    </row>
    <row r="910" ht="33.75" customHeight="1">
      <c r="A910" s="14"/>
      <c r="B910" s="14"/>
      <c r="C910" s="14"/>
    </row>
    <row r="911" ht="33.75" customHeight="1">
      <c r="A911" s="14"/>
      <c r="B911" s="14"/>
      <c r="C911" s="14"/>
    </row>
    <row r="912" ht="33.75" customHeight="1">
      <c r="A912" s="14"/>
      <c r="B912" s="14"/>
      <c r="C912" s="14"/>
    </row>
    <row r="913" ht="33.75" customHeight="1">
      <c r="A913" s="14"/>
      <c r="B913" s="14"/>
      <c r="C913" s="14"/>
    </row>
    <row r="914" ht="33.75" customHeight="1">
      <c r="A914" s="14"/>
      <c r="B914" s="14"/>
      <c r="C914" s="14"/>
    </row>
    <row r="915" ht="33.75" customHeight="1">
      <c r="A915" s="14"/>
      <c r="B915" s="14"/>
      <c r="C915" s="14"/>
    </row>
    <row r="916" ht="33.75" customHeight="1">
      <c r="A916" s="14"/>
      <c r="B916" s="14"/>
      <c r="C916" s="14"/>
    </row>
    <row r="917" ht="33.75" customHeight="1">
      <c r="A917" s="14"/>
      <c r="B917" s="14"/>
      <c r="C917" s="14"/>
    </row>
    <row r="918" ht="33.75" customHeight="1">
      <c r="A918" s="14"/>
      <c r="B918" s="14"/>
      <c r="C918" s="14"/>
    </row>
    <row r="919" ht="33.75" customHeight="1">
      <c r="A919" s="14"/>
      <c r="B919" s="14"/>
      <c r="C919" s="14"/>
    </row>
    <row r="920" ht="33.75" customHeight="1">
      <c r="A920" s="14"/>
      <c r="B920" s="14"/>
      <c r="C920" s="14"/>
    </row>
    <row r="921" ht="33.75" customHeight="1">
      <c r="A921" s="14"/>
      <c r="B921" s="14"/>
      <c r="C921" s="14"/>
    </row>
    <row r="922" ht="33.75" customHeight="1">
      <c r="A922" s="14"/>
      <c r="B922" s="14"/>
      <c r="C922" s="14"/>
    </row>
    <row r="923" ht="33.75" customHeight="1">
      <c r="A923" s="14"/>
      <c r="B923" s="14"/>
      <c r="C923" s="14"/>
    </row>
    <row r="924" ht="33.75" customHeight="1">
      <c r="A924" s="14"/>
      <c r="B924" s="14"/>
      <c r="C924" s="14"/>
    </row>
    <row r="925" ht="33.75" customHeight="1">
      <c r="A925" s="14"/>
      <c r="B925" s="14"/>
      <c r="C925" s="14"/>
    </row>
    <row r="926" ht="33.75" customHeight="1">
      <c r="A926" s="14"/>
      <c r="B926" s="14"/>
      <c r="C926" s="14"/>
    </row>
    <row r="927" ht="33.75" customHeight="1">
      <c r="A927" s="14"/>
      <c r="B927" s="14"/>
      <c r="C927" s="14"/>
    </row>
    <row r="928" ht="33.75" customHeight="1">
      <c r="A928" s="14"/>
      <c r="B928" s="14"/>
      <c r="C928" s="14"/>
    </row>
    <row r="929" ht="33.75" customHeight="1">
      <c r="A929" s="14"/>
      <c r="B929" s="14"/>
      <c r="C929" s="14"/>
    </row>
    <row r="930" ht="33.75" customHeight="1">
      <c r="A930" s="14"/>
      <c r="B930" s="14"/>
      <c r="C930" s="14"/>
    </row>
    <row r="931" ht="33.75" customHeight="1">
      <c r="A931" s="14"/>
      <c r="B931" s="14"/>
      <c r="C931" s="14"/>
    </row>
    <row r="932" ht="33.75" customHeight="1">
      <c r="A932" s="14"/>
      <c r="B932" s="14"/>
      <c r="C932" s="14"/>
    </row>
    <row r="933" ht="33.75" customHeight="1">
      <c r="A933" s="14"/>
      <c r="B933" s="14"/>
      <c r="C933" s="14"/>
    </row>
    <row r="934" ht="33.75" customHeight="1">
      <c r="A934" s="14"/>
      <c r="B934" s="14"/>
      <c r="C934" s="14"/>
    </row>
    <row r="935" ht="33.75" customHeight="1">
      <c r="A935" s="14"/>
      <c r="B935" s="14"/>
      <c r="C935" s="14"/>
    </row>
    <row r="936" ht="33.75" customHeight="1">
      <c r="A936" s="14"/>
      <c r="B936" s="14"/>
      <c r="C936" s="14"/>
    </row>
    <row r="937" ht="33.75" customHeight="1">
      <c r="A937" s="14"/>
      <c r="B937" s="14"/>
      <c r="C937" s="14"/>
    </row>
    <row r="938" ht="33.75" customHeight="1">
      <c r="A938" s="14"/>
      <c r="B938" s="14"/>
      <c r="C938" s="14"/>
    </row>
    <row r="939" ht="33.75" customHeight="1">
      <c r="A939" s="14"/>
      <c r="B939" s="14"/>
      <c r="C939" s="14"/>
    </row>
    <row r="940" ht="33.75" customHeight="1">
      <c r="A940" s="14"/>
      <c r="B940" s="14"/>
      <c r="C940" s="14"/>
    </row>
    <row r="941" ht="33.75" customHeight="1">
      <c r="A941" s="14"/>
      <c r="B941" s="14"/>
      <c r="C941" s="14"/>
    </row>
    <row r="942" ht="33.75" customHeight="1">
      <c r="A942" s="14"/>
      <c r="B942" s="14"/>
      <c r="C942" s="14"/>
    </row>
    <row r="943" ht="33.75" customHeight="1">
      <c r="A943" s="14"/>
      <c r="B943" s="14"/>
      <c r="C943" s="14"/>
    </row>
    <row r="944" ht="33.75" customHeight="1">
      <c r="A944" s="14"/>
      <c r="B944" s="14"/>
      <c r="C944" s="14"/>
    </row>
    <row r="945" ht="33.75" customHeight="1">
      <c r="A945" s="14"/>
      <c r="B945" s="14"/>
      <c r="C945" s="14"/>
    </row>
    <row r="946" ht="33.75" customHeight="1">
      <c r="A946" s="14"/>
      <c r="B946" s="14"/>
      <c r="C946" s="14"/>
    </row>
    <row r="947" ht="33.75" customHeight="1">
      <c r="A947" s="14"/>
      <c r="B947" s="14"/>
      <c r="C947" s="14"/>
    </row>
    <row r="948" ht="33.75" customHeight="1">
      <c r="A948" s="14"/>
      <c r="B948" s="14"/>
      <c r="C948" s="14"/>
    </row>
    <row r="949" ht="33.75" customHeight="1">
      <c r="A949" s="14"/>
      <c r="B949" s="14"/>
      <c r="C949" s="14"/>
    </row>
    <row r="950" ht="33.75" customHeight="1">
      <c r="A950" s="14"/>
      <c r="B950" s="14"/>
      <c r="C950" s="14"/>
    </row>
    <row r="951" ht="33.75" customHeight="1">
      <c r="A951" s="14"/>
      <c r="B951" s="14"/>
      <c r="C951" s="14"/>
    </row>
    <row r="952" ht="33.75" customHeight="1">
      <c r="A952" s="14"/>
      <c r="B952" s="14"/>
      <c r="C952" s="14"/>
    </row>
    <row r="953" ht="33.75" customHeight="1">
      <c r="A953" s="14"/>
      <c r="B953" s="14"/>
      <c r="C953" s="14"/>
    </row>
    <row r="954" ht="33.75" customHeight="1">
      <c r="A954" s="14"/>
      <c r="B954" s="14"/>
      <c r="C954" s="14"/>
    </row>
    <row r="955" ht="33.75" customHeight="1">
      <c r="A955" s="14"/>
      <c r="B955" s="14"/>
      <c r="C955" s="14"/>
    </row>
    <row r="956" ht="33.75" customHeight="1">
      <c r="A956" s="14"/>
      <c r="B956" s="14"/>
      <c r="C956" s="14"/>
    </row>
    <row r="957" ht="33.75" customHeight="1">
      <c r="A957" s="14"/>
      <c r="B957" s="14"/>
      <c r="C957" s="14"/>
    </row>
    <row r="958" ht="33.75" customHeight="1">
      <c r="A958" s="14"/>
      <c r="B958" s="14"/>
      <c r="C958" s="14"/>
    </row>
    <row r="959" ht="33.75" customHeight="1">
      <c r="A959" s="14"/>
      <c r="B959" s="14"/>
      <c r="C959" s="14"/>
    </row>
    <row r="960" ht="33.75" customHeight="1">
      <c r="A960" s="14"/>
      <c r="B960" s="14"/>
      <c r="C960" s="14"/>
    </row>
    <row r="961" ht="33.75" customHeight="1">
      <c r="A961" s="14"/>
      <c r="B961" s="14"/>
      <c r="C961" s="14"/>
    </row>
    <row r="962" ht="33.75" customHeight="1">
      <c r="A962" s="14"/>
      <c r="B962" s="14"/>
      <c r="C962" s="14"/>
    </row>
    <row r="963" ht="33.75" customHeight="1">
      <c r="A963" s="14"/>
      <c r="B963" s="14"/>
      <c r="C963" s="14"/>
    </row>
    <row r="964" ht="33.75" customHeight="1">
      <c r="A964" s="14"/>
      <c r="B964" s="14"/>
      <c r="C964" s="14"/>
    </row>
    <row r="965" ht="33.75" customHeight="1">
      <c r="A965" s="14"/>
      <c r="B965" s="14"/>
      <c r="C965" s="14"/>
    </row>
    <row r="966" ht="33.75" customHeight="1">
      <c r="A966" s="14"/>
      <c r="B966" s="14"/>
      <c r="C966" s="14"/>
    </row>
    <row r="967" ht="33.75" customHeight="1">
      <c r="A967" s="14"/>
      <c r="B967" s="14"/>
      <c r="C967" s="14"/>
    </row>
    <row r="968" ht="33.75" customHeight="1">
      <c r="A968" s="14"/>
      <c r="B968" s="14"/>
      <c r="C968" s="14"/>
    </row>
    <row r="969" ht="33.75" customHeight="1">
      <c r="A969" s="14"/>
      <c r="B969" s="14"/>
      <c r="C969" s="14"/>
    </row>
    <row r="970" ht="33.75" customHeight="1">
      <c r="A970" s="14"/>
      <c r="B970" s="14"/>
      <c r="C970" s="14"/>
    </row>
    <row r="971" ht="33.75" customHeight="1">
      <c r="A971" s="14"/>
      <c r="B971" s="14"/>
      <c r="C971" s="14"/>
    </row>
    <row r="972" ht="33.75" customHeight="1">
      <c r="A972" s="14"/>
      <c r="B972" s="14"/>
      <c r="C972" s="14"/>
    </row>
    <row r="973" ht="33.75" customHeight="1">
      <c r="A973" s="14"/>
      <c r="B973" s="14"/>
      <c r="C973" s="14"/>
    </row>
    <row r="974" ht="33.75" customHeight="1">
      <c r="A974" s="14"/>
      <c r="B974" s="14"/>
      <c r="C974" s="14"/>
    </row>
    <row r="975" ht="33.75" customHeight="1">
      <c r="A975" s="14"/>
      <c r="B975" s="14"/>
      <c r="C975" s="14"/>
    </row>
    <row r="976" ht="33.75" customHeight="1">
      <c r="A976" s="14"/>
      <c r="B976" s="14"/>
      <c r="C976" s="14"/>
    </row>
    <row r="977" ht="33.75" customHeight="1">
      <c r="A977" s="14"/>
      <c r="B977" s="14"/>
      <c r="C977" s="14"/>
    </row>
    <row r="978" ht="33.75" customHeight="1">
      <c r="A978" s="14"/>
      <c r="B978" s="14"/>
      <c r="C978" s="14"/>
    </row>
    <row r="979" ht="33.75" customHeight="1">
      <c r="A979" s="14"/>
      <c r="B979" s="14"/>
      <c r="C979" s="14"/>
    </row>
    <row r="980" ht="33.75" customHeight="1">
      <c r="A980" s="14"/>
      <c r="B980" s="14"/>
      <c r="C980" s="14"/>
    </row>
    <row r="981" ht="33.75" customHeight="1">
      <c r="A981" s="14"/>
      <c r="B981" s="14"/>
      <c r="C981" s="14"/>
    </row>
    <row r="982" ht="33.75" customHeight="1">
      <c r="A982" s="14"/>
      <c r="B982" s="14"/>
      <c r="C982" s="14"/>
    </row>
    <row r="983" ht="33.75" customHeight="1">
      <c r="A983" s="14"/>
      <c r="B983" s="14"/>
      <c r="C983" s="14"/>
    </row>
    <row r="984" ht="33.75" customHeight="1">
      <c r="A984" s="14"/>
      <c r="B984" s="14"/>
      <c r="C984" s="14"/>
    </row>
    <row r="985" ht="33.75" customHeight="1">
      <c r="A985" s="14"/>
      <c r="B985" s="14"/>
      <c r="C985" s="14"/>
    </row>
    <row r="986" ht="33.75" customHeight="1">
      <c r="A986" s="14"/>
      <c r="B986" s="14"/>
      <c r="C986" s="14"/>
    </row>
    <row r="987" ht="33.75" customHeight="1">
      <c r="A987" s="14"/>
      <c r="B987" s="14"/>
      <c r="C987" s="14"/>
    </row>
    <row r="988" ht="33.75" customHeight="1">
      <c r="A988" s="14"/>
      <c r="B988" s="14"/>
      <c r="C988" s="14"/>
    </row>
    <row r="989" ht="33.75" customHeight="1">
      <c r="A989" s="14"/>
      <c r="B989" s="14"/>
      <c r="C989" s="14"/>
    </row>
    <row r="990" ht="33.75" customHeight="1">
      <c r="A990" s="14"/>
      <c r="B990" s="14"/>
      <c r="C990" s="14"/>
    </row>
    <row r="991" ht="33.75" customHeight="1">
      <c r="A991" s="14"/>
      <c r="B991" s="14"/>
      <c r="C991" s="14"/>
    </row>
    <row r="992" ht="33.75" customHeight="1">
      <c r="A992" s="14"/>
      <c r="B992" s="14"/>
      <c r="C992" s="14"/>
    </row>
    <row r="993" ht="33.75" customHeight="1">
      <c r="A993" s="14"/>
      <c r="B993" s="14"/>
      <c r="C993" s="14"/>
    </row>
    <row r="994" ht="33.75" customHeight="1">
      <c r="A994" s="14"/>
      <c r="B994" s="14"/>
      <c r="C994" s="14"/>
    </row>
    <row r="995" ht="33.75" customHeight="1">
      <c r="A995" s="14"/>
      <c r="B995" s="14"/>
      <c r="C995" s="14"/>
    </row>
    <row r="996" ht="33.75" customHeight="1">
      <c r="A996" s="14"/>
      <c r="B996" s="14"/>
      <c r="C996" s="14"/>
    </row>
    <row r="997" ht="33.75" customHeight="1">
      <c r="A997" s="14"/>
      <c r="B997" s="14"/>
      <c r="C997" s="14"/>
    </row>
    <row r="998" ht="33.75" customHeight="1">
      <c r="A998" s="14"/>
      <c r="B998" s="14"/>
      <c r="C998" s="14"/>
    </row>
    <row r="999" ht="33.75" customHeight="1">
      <c r="A999" s="14"/>
      <c r="B999" s="14"/>
      <c r="C999" s="14"/>
    </row>
    <row r="1000" ht="33.75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8.71"/>
    <col customWidth="1" min="3" max="3" width="62.43"/>
  </cols>
  <sheetData>
    <row r="1" ht="36.0" customHeight="1">
      <c r="A1" s="14" t="s">
        <v>1097</v>
      </c>
      <c r="B1" s="14" t="str">
        <f>IMAGE("https://lmztiles.s3.eu-west-1.amazonaws.com/Modern_Interiors_v41.3.4/1_Interiors/16x16/Theme_Sorter_Singles/5_Classroom_and_Library_Singles/Classroom_and_Library_Singles_1.png")</f>
        <v/>
      </c>
      <c r="C1" s="15" t="s">
        <v>1098</v>
      </c>
    </row>
    <row r="2" ht="36.0" customHeight="1">
      <c r="A2" s="14" t="s">
        <v>1099</v>
      </c>
      <c r="B2" s="14" t="str">
        <f>IMAGE("https://lmztiles.s3.eu-west-1.amazonaws.com/Modern_Interiors_v41.3.4/1_Interiors/16x16/Theme_Sorter_Singles/5_Classroom_and_Library_Singles/Classroom_and_Library_Singles_2.png")</f>
        <v/>
      </c>
      <c r="C2" s="15" t="s">
        <v>1100</v>
      </c>
    </row>
    <row r="3" ht="36.0" customHeight="1">
      <c r="A3" s="14" t="s">
        <v>1101</v>
      </c>
      <c r="B3" s="14" t="str">
        <f>IMAGE("https://lmztiles.s3.eu-west-1.amazonaws.com/Modern_Interiors_v41.3.4/1_Interiors/16x16/Theme_Sorter_Singles/5_Classroom_and_Library_Singles/Classroom_and_Library_Singles_3.png")</f>
        <v/>
      </c>
      <c r="C3" s="15" t="s">
        <v>1102</v>
      </c>
    </row>
    <row r="4" ht="36.0" customHeight="1">
      <c r="A4" s="14" t="s">
        <v>1103</v>
      </c>
      <c r="B4" s="14" t="str">
        <f>IMAGE("https://lmztiles.s3.eu-west-1.amazonaws.com/Modern_Interiors_v41.3.4/1_Interiors/16x16/Theme_Sorter_Singles/5_Classroom_and_Library_Singles/Classroom_and_Library_Singles_4.png")</f>
        <v/>
      </c>
      <c r="C4" s="15" t="s">
        <v>1104</v>
      </c>
    </row>
    <row r="5" ht="36.0" customHeight="1">
      <c r="A5" s="14" t="s">
        <v>1105</v>
      </c>
      <c r="B5" s="14" t="str">
        <f>IMAGE("https://lmztiles.s3.eu-west-1.amazonaws.com/Modern_Interiors_v41.3.4/1_Interiors/16x16/Theme_Sorter_Singles/5_Classroom_and_Library_Singles/Classroom_and_Library_Singles_5.png")</f>
        <v/>
      </c>
      <c r="C5" s="15" t="s">
        <v>1106</v>
      </c>
    </row>
    <row r="6" ht="36.0" customHeight="1">
      <c r="A6" s="14" t="s">
        <v>1107</v>
      </c>
      <c r="B6" s="14" t="str">
        <f>IMAGE("https://lmztiles.s3.eu-west-1.amazonaws.com/Modern_Interiors_v41.3.4/1_Interiors/16x16/Theme_Sorter_Singles/5_Classroom_and_Library_Singles/Classroom_and_Library_Singles_6.png")</f>
        <v/>
      </c>
      <c r="C6" s="15" t="s">
        <v>1108</v>
      </c>
    </row>
    <row r="7" ht="36.0" customHeight="1">
      <c r="A7" s="14" t="s">
        <v>1109</v>
      </c>
      <c r="B7" s="14" t="str">
        <f>IMAGE("https://lmztiles.s3.eu-west-1.amazonaws.com/Modern_Interiors_v41.3.4/1_Interiors/16x16/Theme_Sorter_Singles/5_Classroom_and_Library_Singles/Classroom_and_Library_Singles_7.png")</f>
        <v/>
      </c>
      <c r="C7" s="15" t="s">
        <v>1110</v>
      </c>
    </row>
    <row r="8" ht="36.0" customHeight="1">
      <c r="A8" s="14" t="s">
        <v>1111</v>
      </c>
      <c r="B8" s="14" t="str">
        <f>IMAGE("https://lmztiles.s3.eu-west-1.amazonaws.com/Modern_Interiors_v41.3.4/1_Interiors/16x16/Theme_Sorter_Singles/5_Classroom_and_Library_Singles/Classroom_and_Library_Singles_8.png")</f>
        <v/>
      </c>
      <c r="C8" s="15" t="s">
        <v>1112</v>
      </c>
    </row>
    <row r="9" ht="36.0" customHeight="1">
      <c r="A9" s="14" t="s">
        <v>1113</v>
      </c>
      <c r="B9" s="14" t="str">
        <f>IMAGE("https://lmztiles.s3.eu-west-1.amazonaws.com/Modern_Interiors_v41.3.4/1_Interiors/16x16/Theme_Sorter_Singles/5_Classroom_and_Library_Singles/Classroom_and_Library_Singles_9.png")</f>
        <v/>
      </c>
      <c r="C9" s="15" t="s">
        <v>1114</v>
      </c>
    </row>
    <row r="10" ht="36.0" customHeight="1">
      <c r="A10" s="14" t="s">
        <v>1115</v>
      </c>
      <c r="B10" s="14" t="str">
        <f>IMAGE("https://lmztiles.s3.eu-west-1.amazonaws.com/Modern_Interiors_v41.3.4/1_Interiors/16x16/Theme_Sorter_Singles/5_Classroom_and_Library_Singles/Classroom_and_Library_Singles_10.png")</f>
        <v/>
      </c>
      <c r="C10" s="15" t="s">
        <v>1116</v>
      </c>
    </row>
    <row r="11" ht="36.0" customHeight="1">
      <c r="A11" s="14" t="s">
        <v>1117</v>
      </c>
      <c r="B11" s="14" t="str">
        <f>IMAGE("https://lmztiles.s3.eu-west-1.amazonaws.com/Modern_Interiors_v41.3.4/1_Interiors/16x16/Theme_Sorter_Singles/5_Classroom_and_Library_Singles/Classroom_and_Library_Singles_11.png")</f>
        <v/>
      </c>
      <c r="C11" s="15" t="s">
        <v>1118</v>
      </c>
    </row>
    <row r="12" ht="36.0" customHeight="1">
      <c r="A12" s="14" t="s">
        <v>1119</v>
      </c>
      <c r="B12" s="14" t="str">
        <f>IMAGE("https://lmztiles.s3.eu-west-1.amazonaws.com/Modern_Interiors_v41.3.4/1_Interiors/16x16/Theme_Sorter_Singles/5_Classroom_and_Library_Singles/Classroom_and_Library_Singles_12.png")</f>
        <v/>
      </c>
      <c r="C12" s="15" t="s">
        <v>1120</v>
      </c>
    </row>
    <row r="13" ht="36.0" customHeight="1">
      <c r="A13" s="14" t="s">
        <v>1121</v>
      </c>
      <c r="B13" s="14" t="str">
        <f>IMAGE("https://lmztiles.s3.eu-west-1.amazonaws.com/Modern_Interiors_v41.3.4/1_Interiors/16x16/Theme_Sorter_Singles/5_Classroom_and_Library_Singles/Classroom_and_Library_Singles_13.png")</f>
        <v/>
      </c>
      <c r="C13" s="15" t="s">
        <v>1122</v>
      </c>
    </row>
    <row r="14" ht="36.0" customHeight="1">
      <c r="A14" s="14" t="s">
        <v>1123</v>
      </c>
      <c r="B14" s="14" t="str">
        <f>IMAGE("https://lmztiles.s3.eu-west-1.amazonaws.com/Modern_Interiors_v41.3.4/1_Interiors/16x16/Theme_Sorter_Singles/5_Classroom_and_Library_Singles/Classroom_and_Library_Singles_14.png")</f>
        <v/>
      </c>
      <c r="C14" s="15" t="s">
        <v>1124</v>
      </c>
    </row>
    <row r="15" ht="36.0" customHeight="1">
      <c r="A15" s="14" t="s">
        <v>1125</v>
      </c>
      <c r="B15" s="14" t="str">
        <f>IMAGE("https://lmztiles.s3.eu-west-1.amazonaws.com/Modern_Interiors_v41.3.4/1_Interiors/16x16/Theme_Sorter_Singles/5_Classroom_and_Library_Singles/Classroom_and_Library_Singles_15.png")</f>
        <v/>
      </c>
      <c r="C15" s="15" t="s">
        <v>1126</v>
      </c>
    </row>
    <row r="16" ht="36.0" customHeight="1">
      <c r="A16" s="14" t="s">
        <v>1127</v>
      </c>
      <c r="B16" s="14" t="str">
        <f>IMAGE("https://lmztiles.s3.eu-west-1.amazonaws.com/Modern_Interiors_v41.3.4/1_Interiors/16x16/Theme_Sorter_Singles/5_Classroom_and_Library_Singles/Classroom_and_Library_Singles_16.png")</f>
        <v/>
      </c>
      <c r="C16" s="15" t="s">
        <v>1128</v>
      </c>
    </row>
    <row r="17" ht="36.0" customHeight="1">
      <c r="A17" s="14" t="s">
        <v>1129</v>
      </c>
      <c r="B17" s="14" t="str">
        <f>IMAGE("https://lmztiles.s3.eu-west-1.amazonaws.com/Modern_Interiors_v41.3.4/1_Interiors/16x16/Theme_Sorter_Singles/5_Classroom_and_Library_Singles/Classroom_and_Library_Singles_17.png")</f>
        <v/>
      </c>
      <c r="C17" s="15" t="s">
        <v>1130</v>
      </c>
    </row>
    <row r="18" ht="36.0" customHeight="1">
      <c r="A18" s="14" t="s">
        <v>1131</v>
      </c>
      <c r="B18" s="14" t="str">
        <f>IMAGE("https://lmztiles.s3.eu-west-1.amazonaws.com/Modern_Interiors_v41.3.4/1_Interiors/16x16/Theme_Sorter_Singles/5_Classroom_and_Library_Singles/Classroom_and_Library_Singles_18.png")</f>
        <v/>
      </c>
      <c r="C18" s="15" t="s">
        <v>1132</v>
      </c>
    </row>
    <row r="19" ht="36.0" customHeight="1">
      <c r="A19" s="14" t="s">
        <v>1133</v>
      </c>
      <c r="B19" s="14" t="str">
        <f>IMAGE("https://lmztiles.s3.eu-west-1.amazonaws.com/Modern_Interiors_v41.3.4/1_Interiors/16x16/Theme_Sorter_Singles/5_Classroom_and_Library_Singles/Classroom_and_Library_Singles_19.png")</f>
        <v/>
      </c>
      <c r="C19" s="15" t="s">
        <v>1134</v>
      </c>
    </row>
    <row r="20" ht="36.0" customHeight="1">
      <c r="A20" s="14" t="s">
        <v>1135</v>
      </c>
      <c r="B20" s="14" t="str">
        <f>IMAGE("https://lmztiles.s3.eu-west-1.amazonaws.com/Modern_Interiors_v41.3.4/1_Interiors/16x16/Theme_Sorter_Singles/5_Classroom_and_Library_Singles/Classroom_and_Library_Singles_20.png")</f>
        <v/>
      </c>
      <c r="C20" s="15" t="s">
        <v>1136</v>
      </c>
    </row>
    <row r="21" ht="36.0" customHeight="1">
      <c r="A21" s="14" t="s">
        <v>1137</v>
      </c>
      <c r="B21" s="14" t="str">
        <f>IMAGE("https://lmztiles.s3.eu-west-1.amazonaws.com/Modern_Interiors_v41.3.4/1_Interiors/16x16/Theme_Sorter_Singles/5_Classroom_and_Library_Singles/Classroom_and_Library_Singles_21.png")</f>
        <v/>
      </c>
      <c r="C21" s="15" t="s">
        <v>1138</v>
      </c>
    </row>
    <row r="22" ht="36.0" customHeight="1">
      <c r="A22" s="14" t="s">
        <v>1139</v>
      </c>
      <c r="B22" s="14" t="str">
        <f>IMAGE("https://lmztiles.s3.eu-west-1.amazonaws.com/Modern_Interiors_v41.3.4/1_Interiors/16x16/Theme_Sorter_Singles/5_Classroom_and_Library_Singles/Classroom_and_Library_Singles_22.png")</f>
        <v/>
      </c>
      <c r="C22" s="15" t="s">
        <v>1140</v>
      </c>
    </row>
    <row r="23" ht="36.0" customHeight="1">
      <c r="A23" s="14" t="s">
        <v>1141</v>
      </c>
      <c r="B23" s="14" t="str">
        <f>IMAGE("https://lmztiles.s3.eu-west-1.amazonaws.com/Modern_Interiors_v41.3.4/1_Interiors/16x16/Theme_Sorter_Singles/5_Classroom_and_Library_Singles/Classroom_and_Library_Singles_23.png")</f>
        <v/>
      </c>
      <c r="C23" s="15" t="s">
        <v>1142</v>
      </c>
    </row>
    <row r="24" ht="36.0" customHeight="1">
      <c r="A24" s="14" t="s">
        <v>1143</v>
      </c>
      <c r="B24" s="14" t="str">
        <f>IMAGE("https://lmztiles.s3.eu-west-1.amazonaws.com/Modern_Interiors_v41.3.4/1_Interiors/16x16/Theme_Sorter_Singles/5_Classroom_and_Library_Singles/Classroom_and_Library_Singles_24.png")</f>
        <v/>
      </c>
      <c r="C24" s="15" t="s">
        <v>1144</v>
      </c>
    </row>
    <row r="25" ht="36.0" customHeight="1">
      <c r="A25" s="14" t="s">
        <v>1145</v>
      </c>
      <c r="B25" s="14" t="str">
        <f>IMAGE("https://lmztiles.s3.eu-west-1.amazonaws.com/Modern_Interiors_v41.3.4/1_Interiors/16x16/Theme_Sorter_Singles/5_Classroom_and_Library_Singles/Classroom_and_Library_Singles_25.png")</f>
        <v/>
      </c>
      <c r="C25" s="15" t="s">
        <v>1146</v>
      </c>
    </row>
    <row r="26" ht="36.0" customHeight="1">
      <c r="A26" s="14" t="s">
        <v>1147</v>
      </c>
      <c r="B26" s="14" t="str">
        <f>IMAGE("https://lmztiles.s3.eu-west-1.amazonaws.com/Modern_Interiors_v41.3.4/1_Interiors/16x16/Theme_Sorter_Singles/5_Classroom_and_Library_Singles/Classroom_and_Library_Singles_26.png")</f>
        <v/>
      </c>
      <c r="C26" s="15" t="s">
        <v>1148</v>
      </c>
    </row>
    <row r="27" ht="36.0" customHeight="1">
      <c r="A27" s="14" t="s">
        <v>1149</v>
      </c>
      <c r="B27" s="14" t="str">
        <f>IMAGE("https://lmztiles.s3.eu-west-1.amazonaws.com/Modern_Interiors_v41.3.4/1_Interiors/16x16/Theme_Sorter_Singles/5_Classroom_and_Library_Singles/Classroom_and_Library_Singles_27.png")</f>
        <v/>
      </c>
      <c r="C27" s="15" t="s">
        <v>1150</v>
      </c>
    </row>
    <row r="28" ht="36.0" customHeight="1">
      <c r="A28" s="14" t="s">
        <v>1151</v>
      </c>
      <c r="B28" s="14" t="str">
        <f>IMAGE("https://lmztiles.s3.eu-west-1.amazonaws.com/Modern_Interiors_v41.3.4/1_Interiors/16x16/Theme_Sorter_Singles/5_Classroom_and_Library_Singles/Classroom_and_Library_Singles_28.png")</f>
        <v/>
      </c>
      <c r="C28" s="15" t="s">
        <v>1152</v>
      </c>
    </row>
    <row r="29" ht="36.0" customHeight="1">
      <c r="A29" s="14" t="s">
        <v>1153</v>
      </c>
      <c r="B29" s="14" t="str">
        <f>IMAGE("https://lmztiles.s3.eu-west-1.amazonaws.com/Modern_Interiors_v41.3.4/1_Interiors/16x16/Theme_Sorter_Singles/5_Classroom_and_Library_Singles/Classroom_and_Library_Singles_29.png")</f>
        <v/>
      </c>
      <c r="C29" s="15" t="s">
        <v>1154</v>
      </c>
    </row>
    <row r="30" ht="36.0" customHeight="1">
      <c r="A30" s="14" t="s">
        <v>1155</v>
      </c>
      <c r="B30" s="14" t="str">
        <f>IMAGE("https://lmztiles.s3.eu-west-1.amazonaws.com/Modern_Interiors_v41.3.4/1_Interiors/16x16/Theme_Sorter_Singles/5_Classroom_and_Library_Singles/Classroom_and_Library_Singles_30.png")</f>
        <v/>
      </c>
      <c r="C30" s="15" t="s">
        <v>1156</v>
      </c>
    </row>
    <row r="31" ht="36.0" customHeight="1">
      <c r="A31" s="14" t="s">
        <v>1157</v>
      </c>
      <c r="B31" s="14" t="str">
        <f>IMAGE("https://lmztiles.s3.eu-west-1.amazonaws.com/Modern_Interiors_v41.3.4/1_Interiors/16x16/Theme_Sorter_Singles/5_Classroom_and_Library_Singles/Classroom_and_Library_Singles_31.png")</f>
        <v/>
      </c>
      <c r="C31" s="15" t="s">
        <v>1158</v>
      </c>
    </row>
    <row r="32" ht="36.0" customHeight="1">
      <c r="A32" s="14" t="s">
        <v>1159</v>
      </c>
      <c r="B32" s="14" t="str">
        <f>IMAGE("https://lmztiles.s3.eu-west-1.amazonaws.com/Modern_Interiors_v41.3.4/1_Interiors/16x16/Theme_Sorter_Singles/5_Classroom_and_Library_Singles/Classroom_and_Library_Singles_32.png")</f>
        <v/>
      </c>
      <c r="C32" s="15" t="s">
        <v>1160</v>
      </c>
    </row>
    <row r="33" ht="36.0" customHeight="1">
      <c r="A33" s="14" t="s">
        <v>1161</v>
      </c>
      <c r="B33" s="14" t="str">
        <f>IMAGE("https://lmztiles.s3.eu-west-1.amazonaws.com/Modern_Interiors_v41.3.4/1_Interiors/16x16/Theme_Sorter_Singles/5_Classroom_and_Library_Singles/Classroom_and_Library_Singles_33.png")</f>
        <v/>
      </c>
      <c r="C33" s="15" t="s">
        <v>1162</v>
      </c>
    </row>
    <row r="34" ht="36.0" customHeight="1">
      <c r="A34" s="14" t="s">
        <v>1163</v>
      </c>
      <c r="B34" s="14" t="str">
        <f>IMAGE("https://lmztiles.s3.eu-west-1.amazonaws.com/Modern_Interiors_v41.3.4/1_Interiors/16x16/Theme_Sorter_Singles/5_Classroom_and_Library_Singles/Classroom_and_Library_Singles_34.png")</f>
        <v/>
      </c>
      <c r="C34" s="15" t="s">
        <v>1164</v>
      </c>
    </row>
    <row r="35" ht="36.0" customHeight="1">
      <c r="A35" s="14" t="s">
        <v>1165</v>
      </c>
      <c r="B35" s="14" t="str">
        <f>IMAGE("https://lmztiles.s3.eu-west-1.amazonaws.com/Modern_Interiors_v41.3.4/1_Interiors/16x16/Theme_Sorter_Singles/5_Classroom_and_Library_Singles/Classroom_and_Library_Singles_35.png")</f>
        <v/>
      </c>
      <c r="C35" s="15" t="s">
        <v>1166</v>
      </c>
    </row>
    <row r="36" ht="36.0" customHeight="1">
      <c r="A36" s="14" t="s">
        <v>1167</v>
      </c>
      <c r="B36" s="14" t="str">
        <f>IMAGE("https://lmztiles.s3.eu-west-1.amazonaws.com/Modern_Interiors_v41.3.4/1_Interiors/16x16/Theme_Sorter_Singles/5_Classroom_and_Library_Singles/Classroom_and_Library_Singles_36.png")</f>
        <v/>
      </c>
      <c r="C36" s="15" t="s">
        <v>1168</v>
      </c>
    </row>
    <row r="37" ht="36.0" customHeight="1">
      <c r="A37" s="14" t="s">
        <v>1169</v>
      </c>
      <c r="B37" s="14" t="str">
        <f>IMAGE("https://lmztiles.s3.eu-west-1.amazonaws.com/Modern_Interiors_v41.3.4/1_Interiors/16x16/Theme_Sorter_Singles/5_Classroom_and_Library_Singles/Classroom_and_Library_Singles_37.png")</f>
        <v/>
      </c>
      <c r="C37" s="15" t="s">
        <v>1170</v>
      </c>
    </row>
    <row r="38" ht="36.0" customHeight="1">
      <c r="A38" s="14" t="s">
        <v>1171</v>
      </c>
      <c r="B38" s="14" t="str">
        <f>IMAGE("https://lmztiles.s3.eu-west-1.amazonaws.com/Modern_Interiors_v41.3.4/1_Interiors/16x16/Theme_Sorter_Singles/5_Classroom_and_Library_Singles/Classroom_and_Library_Singles_38.png")</f>
        <v/>
      </c>
      <c r="C38" s="15" t="s">
        <v>1172</v>
      </c>
    </row>
    <row r="39" ht="36.0" customHeight="1">
      <c r="A39" s="14" t="s">
        <v>1173</v>
      </c>
      <c r="B39" s="14" t="str">
        <f>IMAGE("https://lmztiles.s3.eu-west-1.amazonaws.com/Modern_Interiors_v41.3.4/1_Interiors/16x16/Theme_Sorter_Singles/5_Classroom_and_Library_Singles/Classroom_and_Library_Singles_39.png")</f>
        <v/>
      </c>
      <c r="C39" s="15" t="s">
        <v>1168</v>
      </c>
    </row>
    <row r="40" ht="36.0" customHeight="1">
      <c r="A40" s="14" t="s">
        <v>1174</v>
      </c>
      <c r="B40" s="14" t="str">
        <f>IMAGE("https://lmztiles.s3.eu-west-1.amazonaws.com/Modern_Interiors_v41.3.4/1_Interiors/16x16/Theme_Sorter_Singles/5_Classroom_and_Library_Singles/Classroom_and_Library_Singles_40.png")</f>
        <v/>
      </c>
      <c r="C40" s="15" t="s">
        <v>1175</v>
      </c>
    </row>
    <row r="41" ht="36.0" customHeight="1">
      <c r="A41" s="14" t="s">
        <v>1176</v>
      </c>
      <c r="B41" s="14" t="str">
        <f>IMAGE("https://lmztiles.s3.eu-west-1.amazonaws.com/Modern_Interiors_v41.3.4/1_Interiors/16x16/Theme_Sorter_Singles/5_Classroom_and_Library_Singles/Classroom_and_Library_Singles_41.png")</f>
        <v/>
      </c>
      <c r="C41" s="15" t="s">
        <v>1177</v>
      </c>
    </row>
    <row r="42" ht="36.0" customHeight="1">
      <c r="A42" s="14" t="s">
        <v>1178</v>
      </c>
      <c r="B42" s="14" t="str">
        <f>IMAGE("https://lmztiles.s3.eu-west-1.amazonaws.com/Modern_Interiors_v41.3.4/1_Interiors/16x16/Theme_Sorter_Singles/5_Classroom_and_Library_Singles/Classroom_and_Library_Singles_42.png")</f>
        <v/>
      </c>
      <c r="C42" s="15" t="s">
        <v>1177</v>
      </c>
    </row>
    <row r="43" ht="36.0" customHeight="1">
      <c r="A43" s="14" t="s">
        <v>1179</v>
      </c>
      <c r="B43" s="14" t="str">
        <f>IMAGE("https://lmztiles.s3.eu-west-1.amazonaws.com/Modern_Interiors_v41.3.4/1_Interiors/16x16/Theme_Sorter_Singles/5_Classroom_and_Library_Singles/Classroom_and_Library_Singles_43.png")</f>
        <v/>
      </c>
      <c r="C43" s="15" t="s">
        <v>1180</v>
      </c>
    </row>
    <row r="44" ht="36.0" customHeight="1">
      <c r="A44" s="14" t="s">
        <v>1181</v>
      </c>
      <c r="B44" s="14" t="str">
        <f>IMAGE("https://lmztiles.s3.eu-west-1.amazonaws.com/Modern_Interiors_v41.3.4/1_Interiors/16x16/Theme_Sorter_Singles/5_Classroom_and_Library_Singles/Classroom_and_Library_Singles_44.png")</f>
        <v/>
      </c>
      <c r="C44" s="15" t="s">
        <v>1180</v>
      </c>
    </row>
    <row r="45" ht="36.0" customHeight="1">
      <c r="A45" s="14" t="s">
        <v>1182</v>
      </c>
      <c r="B45" s="14" t="str">
        <f>IMAGE("https://lmztiles.s3.eu-west-1.amazonaws.com/Modern_Interiors_v41.3.4/1_Interiors/16x16/Theme_Sorter_Singles/5_Classroom_and_Library_Singles/Classroom_and_Library_Singles_45.png")</f>
        <v/>
      </c>
      <c r="C45" s="15" t="s">
        <v>1180</v>
      </c>
    </row>
    <row r="46" ht="36.0" customHeight="1">
      <c r="A46" s="14" t="s">
        <v>1183</v>
      </c>
      <c r="B46" s="14" t="str">
        <f>IMAGE("https://lmztiles.s3.eu-west-1.amazonaws.com/Modern_Interiors_v41.3.4/1_Interiors/16x16/Theme_Sorter_Singles/5_Classroom_and_Library_Singles/Classroom_and_Library_Singles_46.png")</f>
        <v/>
      </c>
      <c r="C46" s="15" t="s">
        <v>1180</v>
      </c>
    </row>
    <row r="47" ht="36.0" customHeight="1">
      <c r="A47" s="14" t="s">
        <v>1184</v>
      </c>
      <c r="B47" s="14" t="str">
        <f>IMAGE("https://lmztiles.s3.eu-west-1.amazonaws.com/Modern_Interiors_v41.3.4/1_Interiors/16x16/Theme_Sorter_Singles/5_Classroom_and_Library_Singles/Classroom_and_Library_Singles_47.png")</f>
        <v/>
      </c>
      <c r="C47" s="15" t="s">
        <v>1180</v>
      </c>
    </row>
    <row r="48" ht="36.0" customHeight="1">
      <c r="A48" s="14" t="s">
        <v>1185</v>
      </c>
      <c r="B48" s="14" t="str">
        <f>IMAGE("https://lmztiles.s3.eu-west-1.amazonaws.com/Modern_Interiors_v41.3.4/1_Interiors/16x16/Theme_Sorter_Singles/5_Classroom_and_Library_Singles/Classroom_and_Library_Singles_48.png")</f>
        <v/>
      </c>
      <c r="C48" s="15" t="s">
        <v>1180</v>
      </c>
    </row>
    <row r="49" ht="36.0" customHeight="1">
      <c r="A49" s="14" t="s">
        <v>1186</v>
      </c>
      <c r="B49" s="14" t="str">
        <f>IMAGE("https://lmztiles.s3.eu-west-1.amazonaws.com/Modern_Interiors_v41.3.4/1_Interiors/16x16/Theme_Sorter_Singles/5_Classroom_and_Library_Singles/Classroom_and_Library_Singles_49.png")</f>
        <v/>
      </c>
      <c r="C49" s="15" t="s">
        <v>1187</v>
      </c>
    </row>
    <row r="50" ht="36.0" customHeight="1">
      <c r="A50" s="14" t="s">
        <v>1188</v>
      </c>
      <c r="B50" s="14" t="str">
        <f>IMAGE("https://lmztiles.s3.eu-west-1.amazonaws.com/Modern_Interiors_v41.3.4/1_Interiors/16x16/Theme_Sorter_Singles/5_Classroom_and_Library_Singles/Classroom_and_Library_Singles_50.png")</f>
        <v/>
      </c>
      <c r="C50" s="15" t="s">
        <v>1189</v>
      </c>
    </row>
    <row r="51" ht="36.0" customHeight="1">
      <c r="A51" s="14" t="s">
        <v>1190</v>
      </c>
      <c r="B51" s="14" t="str">
        <f>IMAGE("https://lmztiles.s3.eu-west-1.amazonaws.com/Modern_Interiors_v41.3.4/1_Interiors/16x16/Theme_Sorter_Singles/5_Classroom_and_Library_Singles/Classroom_and_Library_Singles_51.png")</f>
        <v/>
      </c>
      <c r="C51" s="15" t="s">
        <v>1191</v>
      </c>
    </row>
    <row r="52" ht="36.0" customHeight="1">
      <c r="A52" s="14" t="s">
        <v>1192</v>
      </c>
      <c r="B52" s="14" t="str">
        <f>IMAGE("https://lmztiles.s3.eu-west-1.amazonaws.com/Modern_Interiors_v41.3.4/1_Interiors/16x16/Theme_Sorter_Singles/5_Classroom_and_Library_Singles/Classroom_and_Library_Singles_52.png")</f>
        <v/>
      </c>
      <c r="C52" s="15" t="s">
        <v>1193</v>
      </c>
    </row>
    <row r="53" ht="36.0" customHeight="1">
      <c r="A53" s="14" t="s">
        <v>1194</v>
      </c>
      <c r="B53" s="14" t="str">
        <f>IMAGE("https://lmztiles.s3.eu-west-1.amazonaws.com/Modern_Interiors_v41.3.4/1_Interiors/16x16/Theme_Sorter_Singles/5_Classroom_and_Library_Singles/Classroom_and_Library_Singles_53.png")</f>
        <v/>
      </c>
      <c r="C53" s="15" t="s">
        <v>1193</v>
      </c>
    </row>
    <row r="54" ht="36.0" customHeight="1">
      <c r="A54" s="14" t="s">
        <v>1195</v>
      </c>
      <c r="B54" s="14" t="str">
        <f>IMAGE("https://lmztiles.s3.eu-west-1.amazonaws.com/Modern_Interiors_v41.3.4/1_Interiors/16x16/Theme_Sorter_Singles/5_Classroom_and_Library_Singles/Classroom_and_Library_Singles_54.png")</f>
        <v/>
      </c>
      <c r="C54" s="15" t="s">
        <v>1196</v>
      </c>
    </row>
    <row r="55" ht="36.0" customHeight="1">
      <c r="A55" s="14" t="s">
        <v>1197</v>
      </c>
      <c r="B55" s="14" t="str">
        <f>IMAGE("https://lmztiles.s3.eu-west-1.amazonaws.com/Modern_Interiors_v41.3.4/1_Interiors/16x16/Theme_Sorter_Singles/5_Classroom_and_Library_Singles/Classroom_and_Library_Singles_55.png")</f>
        <v/>
      </c>
      <c r="C55" s="15" t="s">
        <v>1198</v>
      </c>
    </row>
    <row r="56" ht="36.0" customHeight="1">
      <c r="A56" s="14" t="s">
        <v>1199</v>
      </c>
      <c r="B56" s="14" t="str">
        <f>IMAGE("https://lmztiles.s3.eu-west-1.amazonaws.com/Modern_Interiors_v41.3.4/1_Interiors/16x16/Theme_Sorter_Singles/5_Classroom_and_Library_Singles/Classroom_and_Library_Singles_56.png")</f>
        <v/>
      </c>
      <c r="C56" s="15" t="s">
        <v>1198</v>
      </c>
    </row>
    <row r="57" ht="36.0" customHeight="1">
      <c r="A57" s="14" t="s">
        <v>1200</v>
      </c>
      <c r="B57" s="14" t="str">
        <f>IMAGE("https://lmztiles.s3.eu-west-1.amazonaws.com/Modern_Interiors_v41.3.4/1_Interiors/16x16/Theme_Sorter_Singles/5_Classroom_and_Library_Singles/Classroom_and_Library_Singles_57.png")</f>
        <v/>
      </c>
      <c r="C57" s="15" t="s">
        <v>1198</v>
      </c>
    </row>
    <row r="58" ht="36.0" customHeight="1">
      <c r="A58" s="14" t="s">
        <v>1201</v>
      </c>
      <c r="B58" s="14" t="str">
        <f>IMAGE("https://lmztiles.s3.eu-west-1.amazonaws.com/Modern_Interiors_v41.3.4/1_Interiors/16x16/Theme_Sorter_Singles/5_Classroom_and_Library_Singles/Classroom_and_Library_Singles_58.png")</f>
        <v/>
      </c>
      <c r="C58" s="15" t="s">
        <v>1198</v>
      </c>
    </row>
    <row r="59" ht="36.0" customHeight="1">
      <c r="A59" s="14" t="s">
        <v>1202</v>
      </c>
      <c r="B59" s="14" t="str">
        <f>IMAGE("https://lmztiles.s3.eu-west-1.amazonaws.com/Modern_Interiors_v41.3.4/1_Interiors/16x16/Theme_Sorter_Singles/5_Classroom_and_Library_Singles/Classroom_and_Library_Singles_59.png")</f>
        <v/>
      </c>
      <c r="C59" s="15" t="s">
        <v>1203</v>
      </c>
    </row>
    <row r="60" ht="36.0" customHeight="1">
      <c r="A60" s="14" t="s">
        <v>1204</v>
      </c>
      <c r="B60" s="14" t="str">
        <f>IMAGE("https://lmztiles.s3.eu-west-1.amazonaws.com/Modern_Interiors_v41.3.4/1_Interiors/16x16/Theme_Sorter_Singles/5_Classroom_and_Library_Singles/Classroom_and_Library_Singles_60.png")</f>
        <v/>
      </c>
      <c r="C60" s="15" t="s">
        <v>1198</v>
      </c>
    </row>
    <row r="61" ht="36.0" customHeight="1">
      <c r="A61" s="14" t="s">
        <v>1205</v>
      </c>
      <c r="B61" s="14" t="str">
        <f>IMAGE("https://lmztiles.s3.eu-west-1.amazonaws.com/Modern_Interiors_v41.3.4/1_Interiors/16x16/Theme_Sorter_Singles/5_Classroom_and_Library_Singles/Classroom_and_Library_Singles_61.png")</f>
        <v/>
      </c>
      <c r="C61" s="15" t="s">
        <v>1198</v>
      </c>
    </row>
    <row r="62" ht="36.0" customHeight="1">
      <c r="A62" s="14" t="s">
        <v>1206</v>
      </c>
      <c r="B62" s="14" t="str">
        <f>IMAGE("https://lmztiles.s3.eu-west-1.amazonaws.com/Modern_Interiors_v41.3.4/1_Interiors/16x16/Theme_Sorter_Singles/5_Classroom_and_Library_Singles/Classroom_and_Library_Singles_62.png")</f>
        <v/>
      </c>
      <c r="C62" s="15" t="s">
        <v>1198</v>
      </c>
    </row>
    <row r="63" ht="36.0" customHeight="1">
      <c r="A63" s="14" t="s">
        <v>1207</v>
      </c>
      <c r="B63" s="14" t="str">
        <f>IMAGE("https://lmztiles.s3.eu-west-1.amazonaws.com/Modern_Interiors_v41.3.4/1_Interiors/16x16/Theme_Sorter_Singles/5_Classroom_and_Library_Singles/Classroom_and_Library_Singles_63.png")</f>
        <v/>
      </c>
      <c r="C63" s="15" t="s">
        <v>1198</v>
      </c>
    </row>
    <row r="64" ht="36.0" customHeight="1">
      <c r="A64" s="14" t="s">
        <v>1208</v>
      </c>
      <c r="B64" s="14" t="str">
        <f>IMAGE("https://lmztiles.s3.eu-west-1.amazonaws.com/Modern_Interiors_v41.3.4/1_Interiors/16x16/Theme_Sorter_Singles/5_Classroom_and_Library_Singles/Classroom_and_Library_Singles_64.png")</f>
        <v/>
      </c>
      <c r="C64" s="15" t="s">
        <v>1198</v>
      </c>
    </row>
    <row r="65" ht="36.0" customHeight="1">
      <c r="A65" s="14" t="s">
        <v>1209</v>
      </c>
      <c r="B65" s="14" t="str">
        <f>IMAGE("https://lmztiles.s3.eu-west-1.amazonaws.com/Modern_Interiors_v41.3.4/1_Interiors/16x16/Theme_Sorter_Singles/5_Classroom_and_Library_Singles/Classroom_and_Library_Singles_65.png")</f>
        <v/>
      </c>
      <c r="C65" s="15" t="s">
        <v>1198</v>
      </c>
    </row>
    <row r="66" ht="36.0" customHeight="1">
      <c r="A66" s="14" t="s">
        <v>1210</v>
      </c>
      <c r="B66" s="14" t="str">
        <f>IMAGE("https://lmztiles.s3.eu-west-1.amazonaws.com/Modern_Interiors_v41.3.4/1_Interiors/16x16/Theme_Sorter_Singles/5_Classroom_and_Library_Singles/Classroom_and_Library_Singles_66.png")</f>
        <v/>
      </c>
      <c r="C66" s="15" t="s">
        <v>1203</v>
      </c>
    </row>
    <row r="67" ht="36.0" customHeight="1">
      <c r="A67" s="14" t="s">
        <v>1211</v>
      </c>
      <c r="B67" s="14" t="str">
        <f>IMAGE("https://lmztiles.s3.eu-west-1.amazonaws.com/Modern_Interiors_v41.3.4/1_Interiors/16x16/Theme_Sorter_Singles/5_Classroom_and_Library_Singles/Classroom_and_Library_Singles_67.png")</f>
        <v/>
      </c>
      <c r="C67" s="15" t="s">
        <v>1198</v>
      </c>
    </row>
    <row r="68" ht="36.0" customHeight="1">
      <c r="A68" s="14" t="s">
        <v>1212</v>
      </c>
      <c r="B68" s="14" t="str">
        <f>IMAGE("https://lmztiles.s3.eu-west-1.amazonaws.com/Modern_Interiors_v41.3.4/1_Interiors/16x16/Theme_Sorter_Singles/5_Classroom_and_Library_Singles/Classroom_and_Library_Singles_68.png")</f>
        <v/>
      </c>
      <c r="C68" s="15" t="s">
        <v>1198</v>
      </c>
    </row>
    <row r="69" ht="36.0" customHeight="1">
      <c r="A69" s="14" t="s">
        <v>1213</v>
      </c>
      <c r="B69" s="14" t="str">
        <f>IMAGE("https://lmztiles.s3.eu-west-1.amazonaws.com/Modern_Interiors_v41.3.4/1_Interiors/16x16/Theme_Sorter_Singles/5_Classroom_and_Library_Singles/Classroom_and_Library_Singles_69.png")</f>
        <v/>
      </c>
      <c r="C69" s="15" t="s">
        <v>1198</v>
      </c>
    </row>
    <row r="70" ht="36.0" customHeight="1">
      <c r="A70" s="14" t="s">
        <v>1214</v>
      </c>
      <c r="B70" s="14" t="str">
        <f>IMAGE("https://lmztiles.s3.eu-west-1.amazonaws.com/Modern_Interiors_v41.3.4/1_Interiors/16x16/Theme_Sorter_Singles/5_Classroom_and_Library_Singles/Classroom_and_Library_Singles_70.png")</f>
        <v/>
      </c>
      <c r="C70" s="15" t="s">
        <v>1198</v>
      </c>
    </row>
    <row r="71" ht="36.0" customHeight="1">
      <c r="A71" s="14" t="s">
        <v>1215</v>
      </c>
      <c r="B71" s="14" t="str">
        <f>IMAGE("https://lmztiles.s3.eu-west-1.amazonaws.com/Modern_Interiors_v41.3.4/1_Interiors/16x16/Theme_Sorter_Singles/5_Classroom_and_Library_Singles/Classroom_and_Library_Singles_71.png")</f>
        <v/>
      </c>
      <c r="C71" s="15" t="s">
        <v>1198</v>
      </c>
    </row>
    <row r="72" ht="36.0" customHeight="1">
      <c r="A72" s="14" t="s">
        <v>1216</v>
      </c>
      <c r="B72" s="14" t="str">
        <f>IMAGE("https://lmztiles.s3.eu-west-1.amazonaws.com/Modern_Interiors_v41.3.4/1_Interiors/16x16/Theme_Sorter_Singles/5_Classroom_and_Library_Singles/Classroom_and_Library_Singles_72.png")</f>
        <v/>
      </c>
      <c r="C72" s="15" t="s">
        <v>1198</v>
      </c>
    </row>
    <row r="73" ht="36.0" customHeight="1">
      <c r="A73" s="14" t="s">
        <v>1217</v>
      </c>
      <c r="B73" s="14" t="str">
        <f>IMAGE("https://lmztiles.s3.eu-west-1.amazonaws.com/Modern_Interiors_v41.3.4/1_Interiors/16x16/Theme_Sorter_Singles/5_Classroom_and_Library_Singles/Classroom_and_Library_Singles_73.png")</f>
        <v/>
      </c>
      <c r="C73" s="15" t="s">
        <v>1203</v>
      </c>
    </row>
    <row r="74" ht="36.0" customHeight="1">
      <c r="A74" s="14" t="s">
        <v>1218</v>
      </c>
      <c r="B74" s="14" t="str">
        <f>IMAGE("https://lmztiles.s3.eu-west-1.amazonaws.com/Modern_Interiors_v41.3.4/1_Interiors/16x16/Theme_Sorter_Singles/5_Classroom_and_Library_Singles/Classroom_and_Library_Singles_74.png")</f>
        <v/>
      </c>
      <c r="C74" s="15" t="s">
        <v>1198</v>
      </c>
    </row>
    <row r="75" ht="36.0" customHeight="1">
      <c r="A75" s="14" t="s">
        <v>1219</v>
      </c>
      <c r="B75" s="14" t="str">
        <f>IMAGE("https://lmztiles.s3.eu-west-1.amazonaws.com/Modern_Interiors_v41.3.4/1_Interiors/16x16/Theme_Sorter_Singles/5_Classroom_and_Library_Singles/Classroom_and_Library_Singles_75.png")</f>
        <v/>
      </c>
      <c r="C75" s="15" t="s">
        <v>1198</v>
      </c>
    </row>
    <row r="76" ht="36.0" customHeight="1">
      <c r="A76" s="14"/>
      <c r="B76" s="14"/>
      <c r="C76" s="14"/>
    </row>
    <row r="77" ht="36.0" customHeight="1">
      <c r="A77" s="14"/>
      <c r="B77" s="14"/>
      <c r="C77" s="14"/>
    </row>
    <row r="78" ht="36.0" customHeight="1">
      <c r="A78" s="14"/>
      <c r="B78" s="14"/>
      <c r="C78" s="14"/>
    </row>
    <row r="79" ht="36.0" customHeight="1">
      <c r="A79" s="14"/>
      <c r="B79" s="14"/>
      <c r="C79" s="14"/>
    </row>
    <row r="80" ht="36.0" customHeight="1">
      <c r="A80" s="14"/>
      <c r="B80" s="14"/>
      <c r="C80" s="14"/>
    </row>
    <row r="81" ht="36.0" customHeight="1">
      <c r="A81" s="14"/>
      <c r="B81" s="14"/>
      <c r="C81" s="14"/>
    </row>
    <row r="82" ht="36.0" customHeight="1">
      <c r="A82" s="14"/>
      <c r="B82" s="14"/>
      <c r="C82" s="14"/>
    </row>
    <row r="83" ht="36.0" customHeight="1">
      <c r="A83" s="14"/>
      <c r="B83" s="14"/>
      <c r="C83" s="14"/>
    </row>
    <row r="84" ht="36.0" customHeight="1">
      <c r="A84" s="14"/>
      <c r="B84" s="14"/>
      <c r="C84" s="14"/>
    </row>
    <row r="85" ht="36.0" customHeight="1">
      <c r="A85" s="14"/>
      <c r="B85" s="14"/>
      <c r="C85" s="14"/>
    </row>
    <row r="86" ht="36.0" customHeight="1">
      <c r="A86" s="14"/>
      <c r="B86" s="14"/>
      <c r="C86" s="14"/>
    </row>
    <row r="87" ht="36.0" customHeight="1">
      <c r="A87" s="14"/>
      <c r="B87" s="14"/>
      <c r="C87" s="14"/>
    </row>
    <row r="88" ht="36.0" customHeight="1">
      <c r="A88" s="14"/>
      <c r="B88" s="14"/>
      <c r="C88" s="14"/>
    </row>
    <row r="89" ht="36.0" customHeight="1">
      <c r="A89" s="14"/>
      <c r="B89" s="14"/>
      <c r="C89" s="14"/>
    </row>
    <row r="90" ht="36.0" customHeight="1">
      <c r="A90" s="14"/>
      <c r="B90" s="14"/>
      <c r="C90" s="14"/>
    </row>
    <row r="91" ht="36.0" customHeight="1">
      <c r="A91" s="14"/>
      <c r="B91" s="14"/>
      <c r="C91" s="14"/>
    </row>
    <row r="92" ht="36.0" customHeight="1">
      <c r="A92" s="14"/>
      <c r="B92" s="14"/>
      <c r="C92" s="14"/>
    </row>
    <row r="93" ht="36.0" customHeight="1">
      <c r="A93" s="14"/>
      <c r="B93" s="14"/>
      <c r="C93" s="14"/>
    </row>
    <row r="94" ht="36.0" customHeight="1">
      <c r="A94" s="14"/>
      <c r="B94" s="14"/>
      <c r="C94" s="14"/>
    </row>
    <row r="95" ht="36.0" customHeight="1">
      <c r="A95" s="14"/>
      <c r="B95" s="14"/>
      <c r="C95" s="14"/>
    </row>
    <row r="96" ht="36.0" customHeight="1">
      <c r="A96" s="14"/>
      <c r="B96" s="14"/>
      <c r="C96" s="14"/>
    </row>
    <row r="97" ht="36.0" customHeight="1">
      <c r="A97" s="14"/>
      <c r="B97" s="14"/>
      <c r="C97" s="14"/>
    </row>
    <row r="98" ht="36.0" customHeight="1">
      <c r="A98" s="14"/>
      <c r="B98" s="14"/>
      <c r="C98" s="14"/>
    </row>
    <row r="99" ht="36.0" customHeight="1">
      <c r="A99" s="14"/>
      <c r="B99" s="14"/>
      <c r="C99" s="14"/>
    </row>
    <row r="100" ht="36.0" customHeight="1">
      <c r="A100" s="14"/>
      <c r="B100" s="14"/>
      <c r="C100" s="14"/>
    </row>
    <row r="101" ht="36.0" customHeight="1">
      <c r="A101" s="14"/>
      <c r="B101" s="14"/>
      <c r="C101" s="14"/>
    </row>
    <row r="102" ht="36.0" customHeight="1">
      <c r="A102" s="14"/>
      <c r="B102" s="14"/>
      <c r="C102" s="14"/>
    </row>
    <row r="103" ht="36.0" customHeight="1">
      <c r="A103" s="14"/>
      <c r="B103" s="14"/>
      <c r="C103" s="14"/>
    </row>
    <row r="104" ht="36.0" customHeight="1">
      <c r="A104" s="14"/>
      <c r="B104" s="14"/>
      <c r="C104" s="14"/>
    </row>
    <row r="105" ht="36.0" customHeight="1">
      <c r="A105" s="14"/>
      <c r="B105" s="14"/>
      <c r="C105" s="14"/>
    </row>
    <row r="106" ht="36.0" customHeight="1">
      <c r="A106" s="14"/>
      <c r="B106" s="14"/>
      <c r="C106" s="14"/>
    </row>
    <row r="107" ht="36.0" customHeight="1">
      <c r="A107" s="14"/>
      <c r="B107" s="14"/>
      <c r="C107" s="14"/>
    </row>
    <row r="108" ht="36.0" customHeight="1">
      <c r="A108" s="14"/>
      <c r="B108" s="14"/>
      <c r="C108" s="14"/>
    </row>
    <row r="109" ht="36.0" customHeight="1">
      <c r="A109" s="14"/>
      <c r="B109" s="14"/>
      <c r="C109" s="14"/>
    </row>
    <row r="110" ht="36.0" customHeight="1">
      <c r="A110" s="14"/>
      <c r="B110" s="14"/>
      <c r="C110" s="14"/>
    </row>
    <row r="111" ht="36.0" customHeight="1">
      <c r="A111" s="14"/>
      <c r="B111" s="14"/>
      <c r="C111" s="14"/>
    </row>
    <row r="112" ht="36.0" customHeight="1">
      <c r="A112" s="14"/>
      <c r="B112" s="14"/>
      <c r="C112" s="14"/>
    </row>
    <row r="113" ht="36.0" customHeight="1">
      <c r="A113" s="14"/>
      <c r="B113" s="14"/>
      <c r="C113" s="14"/>
    </row>
    <row r="114" ht="36.0" customHeight="1">
      <c r="A114" s="14"/>
      <c r="B114" s="14"/>
      <c r="C114" s="14"/>
    </row>
    <row r="115" ht="36.0" customHeight="1">
      <c r="A115" s="14"/>
      <c r="B115" s="14"/>
      <c r="C115" s="14"/>
    </row>
    <row r="116" ht="36.0" customHeight="1">
      <c r="A116" s="14"/>
      <c r="B116" s="14"/>
      <c r="C116" s="14"/>
    </row>
    <row r="117" ht="36.0" customHeight="1">
      <c r="A117" s="14"/>
      <c r="B117" s="14"/>
      <c r="C117" s="14"/>
    </row>
    <row r="118" ht="36.0" customHeight="1">
      <c r="A118" s="14"/>
      <c r="B118" s="14"/>
      <c r="C118" s="14"/>
    </row>
    <row r="119" ht="36.0" customHeight="1">
      <c r="A119" s="14"/>
      <c r="B119" s="14"/>
      <c r="C119" s="14"/>
    </row>
    <row r="120" ht="36.0" customHeight="1">
      <c r="A120" s="14"/>
      <c r="B120" s="14"/>
      <c r="C120" s="14"/>
    </row>
    <row r="121" ht="36.0" customHeight="1">
      <c r="A121" s="14"/>
      <c r="B121" s="14"/>
      <c r="C121" s="14"/>
    </row>
    <row r="122" ht="36.0" customHeight="1">
      <c r="A122" s="14"/>
      <c r="B122" s="14"/>
      <c r="C122" s="14"/>
    </row>
    <row r="123" ht="36.0" customHeight="1">
      <c r="A123" s="14"/>
      <c r="B123" s="14"/>
      <c r="C123" s="14"/>
    </row>
    <row r="124" ht="36.0" customHeight="1">
      <c r="A124" s="14"/>
      <c r="B124" s="14"/>
      <c r="C124" s="14"/>
    </row>
    <row r="125" ht="36.0" customHeight="1">
      <c r="A125" s="14"/>
      <c r="B125" s="14"/>
      <c r="C125" s="14"/>
    </row>
    <row r="126" ht="36.0" customHeight="1">
      <c r="A126" s="14"/>
      <c r="B126" s="14"/>
      <c r="C126" s="14"/>
    </row>
    <row r="127" ht="36.0" customHeight="1">
      <c r="A127" s="14"/>
      <c r="B127" s="14"/>
      <c r="C127" s="14"/>
    </row>
    <row r="128" ht="36.0" customHeight="1">
      <c r="A128" s="14"/>
      <c r="B128" s="14"/>
      <c r="C128" s="14"/>
    </row>
    <row r="129" ht="36.0" customHeight="1">
      <c r="A129" s="14"/>
      <c r="B129" s="14"/>
      <c r="C129" s="14"/>
    </row>
    <row r="130" ht="36.0" customHeight="1">
      <c r="A130" s="14"/>
      <c r="B130" s="14"/>
      <c r="C130" s="14"/>
    </row>
    <row r="131" ht="36.0" customHeight="1">
      <c r="A131" s="14"/>
      <c r="B131" s="14"/>
      <c r="C131" s="14"/>
    </row>
    <row r="132" ht="36.0" customHeight="1">
      <c r="A132" s="14"/>
      <c r="B132" s="14"/>
      <c r="C132" s="14"/>
    </row>
    <row r="133" ht="36.0" customHeight="1">
      <c r="A133" s="14"/>
      <c r="B133" s="14"/>
      <c r="C133" s="14"/>
    </row>
    <row r="134" ht="36.0" customHeight="1">
      <c r="A134" s="14"/>
      <c r="B134" s="14"/>
      <c r="C134" s="14"/>
    </row>
    <row r="135" ht="36.0" customHeight="1">
      <c r="A135" s="14"/>
      <c r="B135" s="14"/>
      <c r="C135" s="14"/>
    </row>
    <row r="136" ht="36.0" customHeight="1">
      <c r="A136" s="14"/>
      <c r="B136" s="14"/>
      <c r="C136" s="14"/>
    </row>
    <row r="137" ht="36.0" customHeight="1">
      <c r="A137" s="14"/>
      <c r="B137" s="14"/>
      <c r="C137" s="14"/>
    </row>
    <row r="138" ht="36.0" customHeight="1">
      <c r="A138" s="14"/>
      <c r="B138" s="14"/>
      <c r="C138" s="14"/>
    </row>
    <row r="139" ht="36.0" customHeight="1">
      <c r="A139" s="14"/>
      <c r="B139" s="14"/>
      <c r="C139" s="14"/>
    </row>
    <row r="140" ht="36.0" customHeight="1">
      <c r="A140" s="14"/>
      <c r="B140" s="14"/>
      <c r="C140" s="14"/>
    </row>
    <row r="141" ht="36.0" customHeight="1">
      <c r="A141" s="14"/>
      <c r="B141" s="14"/>
      <c r="C141" s="14"/>
    </row>
    <row r="142" ht="36.0" customHeight="1">
      <c r="A142" s="14"/>
      <c r="B142" s="14"/>
      <c r="C142" s="14"/>
    </row>
    <row r="143" ht="36.0" customHeight="1">
      <c r="A143" s="14"/>
      <c r="B143" s="14"/>
      <c r="C143" s="14"/>
    </row>
    <row r="144" ht="36.0" customHeight="1">
      <c r="A144" s="14"/>
      <c r="B144" s="14"/>
      <c r="C144" s="14"/>
    </row>
    <row r="145" ht="36.0" customHeight="1">
      <c r="A145" s="14"/>
      <c r="B145" s="14"/>
      <c r="C145" s="14"/>
    </row>
    <row r="146" ht="36.0" customHeight="1">
      <c r="A146" s="14"/>
      <c r="B146" s="14"/>
      <c r="C146" s="14"/>
    </row>
    <row r="147" ht="36.0" customHeight="1">
      <c r="A147" s="14"/>
      <c r="B147" s="14"/>
      <c r="C147" s="14"/>
    </row>
    <row r="148" ht="36.0" customHeight="1">
      <c r="A148" s="14"/>
      <c r="B148" s="14"/>
      <c r="C148" s="14"/>
    </row>
    <row r="149" ht="36.0" customHeight="1">
      <c r="A149" s="14"/>
      <c r="B149" s="14"/>
      <c r="C149" s="14"/>
    </row>
    <row r="150" ht="36.0" customHeight="1">
      <c r="A150" s="14"/>
      <c r="B150" s="14"/>
      <c r="C150" s="14"/>
    </row>
    <row r="151" ht="36.0" customHeight="1">
      <c r="A151" s="14"/>
      <c r="B151" s="14"/>
      <c r="C151" s="14"/>
    </row>
    <row r="152" ht="36.0" customHeight="1">
      <c r="A152" s="14"/>
      <c r="B152" s="14"/>
      <c r="C152" s="14"/>
    </row>
    <row r="153" ht="36.0" customHeight="1">
      <c r="A153" s="14"/>
      <c r="B153" s="14"/>
      <c r="C153" s="14"/>
    </row>
    <row r="154" ht="36.0" customHeight="1">
      <c r="A154" s="14"/>
      <c r="B154" s="14"/>
      <c r="C154" s="14"/>
    </row>
    <row r="155" ht="36.0" customHeight="1">
      <c r="A155" s="14"/>
      <c r="B155" s="14"/>
      <c r="C155" s="14"/>
    </row>
    <row r="156" ht="36.0" customHeight="1">
      <c r="A156" s="14"/>
      <c r="B156" s="14"/>
      <c r="C156" s="14"/>
    </row>
    <row r="157" ht="36.0" customHeight="1">
      <c r="A157" s="14"/>
      <c r="B157" s="14"/>
      <c r="C157" s="14"/>
    </row>
    <row r="158" ht="36.0" customHeight="1">
      <c r="A158" s="14"/>
      <c r="B158" s="14"/>
      <c r="C158" s="14"/>
    </row>
    <row r="159" ht="36.0" customHeight="1">
      <c r="A159" s="14"/>
      <c r="B159" s="14"/>
      <c r="C159" s="14"/>
    </row>
    <row r="160" ht="36.0" customHeight="1">
      <c r="A160" s="14"/>
      <c r="B160" s="14"/>
      <c r="C160" s="14"/>
    </row>
    <row r="161" ht="36.0" customHeight="1">
      <c r="A161" s="14"/>
      <c r="B161" s="14"/>
      <c r="C161" s="14"/>
    </row>
    <row r="162" ht="36.0" customHeight="1">
      <c r="A162" s="14"/>
      <c r="B162" s="14"/>
      <c r="C162" s="14"/>
    </row>
    <row r="163" ht="36.0" customHeight="1">
      <c r="A163" s="14"/>
      <c r="B163" s="14"/>
      <c r="C163" s="14"/>
    </row>
    <row r="164" ht="36.0" customHeight="1">
      <c r="A164" s="14"/>
      <c r="B164" s="14"/>
      <c r="C164" s="14"/>
    </row>
    <row r="165" ht="36.0" customHeight="1">
      <c r="A165" s="14"/>
      <c r="B165" s="14"/>
      <c r="C165" s="14"/>
    </row>
    <row r="166" ht="36.0" customHeight="1">
      <c r="A166" s="14"/>
      <c r="B166" s="14"/>
      <c r="C166" s="14"/>
    </row>
    <row r="167" ht="36.0" customHeight="1">
      <c r="A167" s="14"/>
      <c r="B167" s="14"/>
      <c r="C167" s="14"/>
    </row>
    <row r="168" ht="36.0" customHeight="1">
      <c r="A168" s="14"/>
      <c r="B168" s="14"/>
      <c r="C168" s="14"/>
    </row>
    <row r="169" ht="36.0" customHeight="1">
      <c r="A169" s="14"/>
      <c r="B169" s="14"/>
      <c r="C169" s="14"/>
    </row>
    <row r="170" ht="36.0" customHeight="1">
      <c r="A170" s="14"/>
      <c r="B170" s="14"/>
      <c r="C170" s="14"/>
    </row>
    <row r="171" ht="36.0" customHeight="1">
      <c r="A171" s="14"/>
      <c r="B171" s="14"/>
      <c r="C171" s="14"/>
    </row>
    <row r="172" ht="36.0" customHeight="1">
      <c r="A172" s="14"/>
      <c r="B172" s="14"/>
      <c r="C172" s="14"/>
    </row>
    <row r="173" ht="36.0" customHeight="1">
      <c r="A173" s="14"/>
      <c r="B173" s="14"/>
      <c r="C173" s="14"/>
    </row>
    <row r="174" ht="36.0" customHeight="1">
      <c r="A174" s="14"/>
      <c r="B174" s="14"/>
      <c r="C174" s="14"/>
    </row>
    <row r="175" ht="36.0" customHeight="1">
      <c r="A175" s="14"/>
      <c r="B175" s="14"/>
      <c r="C175" s="14"/>
    </row>
    <row r="176" ht="36.0" customHeight="1">
      <c r="A176" s="14"/>
      <c r="B176" s="14"/>
      <c r="C176" s="14"/>
    </row>
    <row r="177" ht="36.0" customHeight="1">
      <c r="A177" s="14"/>
      <c r="B177" s="14"/>
      <c r="C177" s="14"/>
    </row>
    <row r="178" ht="36.0" customHeight="1">
      <c r="A178" s="14"/>
      <c r="B178" s="14"/>
      <c r="C178" s="14"/>
    </row>
    <row r="179" ht="36.0" customHeight="1">
      <c r="A179" s="14"/>
      <c r="B179" s="14"/>
      <c r="C179" s="14"/>
    </row>
    <row r="180" ht="36.0" customHeight="1">
      <c r="A180" s="14"/>
      <c r="B180" s="14"/>
      <c r="C180" s="14"/>
    </row>
    <row r="181" ht="36.0" customHeight="1">
      <c r="A181" s="14"/>
      <c r="B181" s="14"/>
      <c r="C181" s="14"/>
    </row>
    <row r="182" ht="36.0" customHeight="1">
      <c r="A182" s="14"/>
      <c r="B182" s="14"/>
      <c r="C182" s="14"/>
    </row>
    <row r="183" ht="36.0" customHeight="1">
      <c r="A183" s="14"/>
      <c r="B183" s="14"/>
      <c r="C183" s="14"/>
    </row>
    <row r="184" ht="36.0" customHeight="1">
      <c r="A184" s="14"/>
      <c r="B184" s="14"/>
      <c r="C184" s="14"/>
    </row>
    <row r="185" ht="36.0" customHeight="1">
      <c r="A185" s="14"/>
      <c r="B185" s="14"/>
      <c r="C185" s="14"/>
    </row>
    <row r="186" ht="36.0" customHeight="1">
      <c r="A186" s="14"/>
      <c r="B186" s="14"/>
      <c r="C186" s="14"/>
    </row>
    <row r="187" ht="36.0" customHeight="1">
      <c r="A187" s="14"/>
      <c r="B187" s="14"/>
      <c r="C187" s="14"/>
    </row>
    <row r="188" ht="36.0" customHeight="1">
      <c r="A188" s="14"/>
      <c r="B188" s="14"/>
      <c r="C188" s="14"/>
    </row>
    <row r="189" ht="36.0" customHeight="1">
      <c r="A189" s="14"/>
      <c r="B189" s="14"/>
      <c r="C189" s="14"/>
    </row>
    <row r="190" ht="36.0" customHeight="1">
      <c r="A190" s="14"/>
      <c r="B190" s="14"/>
      <c r="C190" s="14"/>
    </row>
    <row r="191" ht="36.0" customHeight="1">
      <c r="A191" s="14"/>
      <c r="B191" s="14"/>
      <c r="C191" s="14"/>
    </row>
    <row r="192" ht="36.0" customHeight="1">
      <c r="A192" s="14"/>
      <c r="B192" s="14"/>
      <c r="C192" s="14"/>
    </row>
    <row r="193" ht="36.0" customHeight="1">
      <c r="A193" s="14"/>
      <c r="B193" s="14"/>
      <c r="C193" s="14"/>
    </row>
    <row r="194" ht="36.0" customHeight="1">
      <c r="A194" s="14"/>
      <c r="B194" s="14"/>
      <c r="C194" s="14"/>
    </row>
    <row r="195" ht="36.0" customHeight="1">
      <c r="A195" s="14"/>
      <c r="B195" s="14"/>
      <c r="C195" s="14"/>
    </row>
    <row r="196" ht="36.0" customHeight="1">
      <c r="A196" s="14"/>
      <c r="B196" s="14"/>
      <c r="C196" s="14"/>
    </row>
    <row r="197" ht="36.0" customHeight="1">
      <c r="A197" s="14"/>
      <c r="B197" s="14"/>
      <c r="C197" s="14"/>
    </row>
    <row r="198" ht="36.0" customHeight="1">
      <c r="A198" s="14"/>
      <c r="B198" s="14"/>
      <c r="C198" s="14"/>
    </row>
    <row r="199" ht="36.0" customHeight="1">
      <c r="A199" s="14"/>
      <c r="B199" s="14"/>
      <c r="C199" s="14"/>
    </row>
    <row r="200" ht="36.0" customHeight="1">
      <c r="A200" s="14"/>
      <c r="B200" s="14"/>
      <c r="C200" s="14"/>
    </row>
    <row r="201" ht="36.0" customHeight="1">
      <c r="A201" s="14"/>
      <c r="B201" s="14"/>
      <c r="C201" s="14"/>
    </row>
    <row r="202" ht="36.0" customHeight="1">
      <c r="A202" s="14"/>
      <c r="B202" s="14"/>
      <c r="C202" s="14"/>
    </row>
    <row r="203" ht="36.0" customHeight="1">
      <c r="A203" s="14"/>
      <c r="B203" s="14"/>
      <c r="C203" s="14"/>
    </row>
    <row r="204" ht="36.0" customHeight="1">
      <c r="A204" s="14"/>
      <c r="B204" s="14"/>
      <c r="C204" s="14"/>
    </row>
    <row r="205" ht="36.0" customHeight="1">
      <c r="A205" s="14"/>
      <c r="B205" s="14"/>
      <c r="C205" s="14"/>
    </row>
    <row r="206" ht="36.0" customHeight="1">
      <c r="A206" s="14"/>
      <c r="B206" s="14"/>
      <c r="C206" s="14"/>
    </row>
    <row r="207" ht="36.0" customHeight="1">
      <c r="A207" s="14"/>
      <c r="B207" s="14"/>
      <c r="C207" s="14"/>
    </row>
    <row r="208" ht="36.0" customHeight="1">
      <c r="A208" s="14"/>
      <c r="B208" s="14"/>
      <c r="C208" s="14"/>
    </row>
    <row r="209" ht="36.0" customHeight="1">
      <c r="A209" s="14"/>
      <c r="B209" s="14"/>
      <c r="C209" s="14"/>
    </row>
    <row r="210" ht="36.0" customHeight="1">
      <c r="A210" s="14"/>
      <c r="B210" s="14"/>
      <c r="C210" s="14"/>
    </row>
    <row r="211" ht="36.0" customHeight="1">
      <c r="A211" s="14"/>
      <c r="B211" s="14"/>
      <c r="C211" s="14"/>
    </row>
    <row r="212" ht="36.0" customHeight="1">
      <c r="A212" s="14"/>
      <c r="B212" s="14"/>
      <c r="C212" s="14"/>
    </row>
    <row r="213" ht="36.0" customHeight="1">
      <c r="A213" s="14"/>
      <c r="B213" s="14"/>
      <c r="C213" s="14"/>
    </row>
    <row r="214" ht="36.0" customHeight="1">
      <c r="A214" s="14"/>
      <c r="B214" s="14"/>
      <c r="C214" s="14"/>
    </row>
    <row r="215" ht="36.0" customHeight="1">
      <c r="A215" s="14"/>
      <c r="B215" s="14"/>
      <c r="C215" s="14"/>
    </row>
    <row r="216" ht="36.0" customHeight="1">
      <c r="A216" s="14"/>
      <c r="B216" s="14"/>
      <c r="C216" s="14"/>
    </row>
    <row r="217" ht="36.0" customHeight="1">
      <c r="A217" s="14"/>
      <c r="B217" s="14"/>
      <c r="C217" s="14"/>
    </row>
    <row r="218" ht="36.0" customHeight="1">
      <c r="A218" s="14"/>
      <c r="B218" s="14"/>
      <c r="C218" s="14"/>
    </row>
    <row r="219" ht="36.0" customHeight="1">
      <c r="A219" s="14"/>
      <c r="B219" s="14"/>
      <c r="C219" s="14"/>
    </row>
    <row r="220" ht="36.0" customHeight="1">
      <c r="A220" s="14"/>
      <c r="B220" s="14"/>
      <c r="C220" s="14"/>
    </row>
    <row r="221" ht="36.0" customHeight="1">
      <c r="A221" s="14"/>
      <c r="B221" s="14"/>
      <c r="C221" s="14"/>
    </row>
    <row r="222" ht="36.0" customHeight="1">
      <c r="A222" s="14"/>
      <c r="B222" s="14"/>
      <c r="C222" s="14"/>
    </row>
    <row r="223" ht="36.0" customHeight="1">
      <c r="A223" s="14"/>
      <c r="B223" s="14"/>
      <c r="C223" s="14"/>
    </row>
    <row r="224" ht="36.0" customHeight="1">
      <c r="A224" s="14"/>
      <c r="B224" s="14"/>
      <c r="C224" s="14"/>
    </row>
    <row r="225" ht="36.0" customHeight="1">
      <c r="A225" s="14"/>
      <c r="B225" s="14"/>
      <c r="C225" s="14"/>
    </row>
    <row r="226" ht="36.0" customHeight="1">
      <c r="A226" s="14"/>
      <c r="B226" s="14"/>
      <c r="C226" s="14"/>
    </row>
    <row r="227" ht="36.0" customHeight="1">
      <c r="A227" s="14"/>
      <c r="B227" s="14"/>
      <c r="C227" s="14"/>
    </row>
    <row r="228" ht="36.0" customHeight="1">
      <c r="A228" s="14"/>
      <c r="B228" s="14"/>
      <c r="C228" s="14"/>
    </row>
    <row r="229" ht="36.0" customHeight="1">
      <c r="A229" s="14"/>
      <c r="B229" s="14"/>
      <c r="C229" s="14"/>
    </row>
    <row r="230" ht="36.0" customHeight="1">
      <c r="A230" s="14"/>
      <c r="B230" s="14"/>
      <c r="C230" s="14"/>
    </row>
    <row r="231" ht="36.0" customHeight="1">
      <c r="A231" s="14"/>
      <c r="B231" s="14"/>
      <c r="C231" s="14"/>
    </row>
    <row r="232" ht="36.0" customHeight="1">
      <c r="A232" s="14"/>
      <c r="B232" s="14"/>
      <c r="C232" s="14"/>
    </row>
    <row r="233" ht="36.0" customHeight="1">
      <c r="A233" s="14"/>
      <c r="B233" s="14"/>
      <c r="C233" s="14"/>
    </row>
    <row r="234" ht="36.0" customHeight="1">
      <c r="A234" s="14"/>
      <c r="B234" s="14"/>
      <c r="C234" s="14"/>
    </row>
    <row r="235" ht="36.0" customHeight="1">
      <c r="A235" s="14"/>
      <c r="B235" s="14"/>
      <c r="C235" s="14"/>
    </row>
    <row r="236" ht="36.0" customHeight="1">
      <c r="A236" s="14"/>
      <c r="B236" s="14"/>
      <c r="C236" s="14"/>
    </row>
    <row r="237" ht="36.0" customHeight="1">
      <c r="A237" s="14"/>
      <c r="B237" s="14"/>
      <c r="C237" s="14"/>
    </row>
    <row r="238" ht="36.0" customHeight="1">
      <c r="A238" s="14"/>
      <c r="B238" s="14"/>
      <c r="C238" s="14"/>
    </row>
    <row r="239" ht="36.0" customHeight="1">
      <c r="A239" s="14"/>
      <c r="B239" s="14"/>
      <c r="C239" s="14"/>
    </row>
    <row r="240" ht="36.0" customHeight="1">
      <c r="A240" s="14"/>
      <c r="B240" s="14"/>
      <c r="C240" s="14"/>
    </row>
    <row r="241" ht="36.0" customHeight="1">
      <c r="A241" s="14"/>
      <c r="B241" s="14"/>
      <c r="C241" s="14"/>
    </row>
    <row r="242" ht="36.0" customHeight="1">
      <c r="A242" s="14"/>
      <c r="B242" s="14"/>
      <c r="C242" s="14"/>
    </row>
    <row r="243" ht="36.0" customHeight="1">
      <c r="A243" s="14"/>
      <c r="B243" s="14"/>
      <c r="C243" s="14"/>
    </row>
    <row r="244" ht="36.0" customHeight="1">
      <c r="A244" s="14"/>
      <c r="B244" s="14"/>
      <c r="C244" s="14"/>
    </row>
    <row r="245" ht="36.0" customHeight="1">
      <c r="A245" s="14"/>
      <c r="B245" s="14"/>
      <c r="C245" s="14"/>
    </row>
    <row r="246" ht="36.0" customHeight="1">
      <c r="A246" s="14"/>
      <c r="B246" s="14"/>
      <c r="C246" s="14"/>
    </row>
    <row r="247" ht="36.0" customHeight="1">
      <c r="A247" s="14"/>
      <c r="B247" s="14"/>
      <c r="C247" s="14"/>
    </row>
    <row r="248" ht="36.0" customHeight="1">
      <c r="A248" s="14"/>
      <c r="B248" s="14"/>
      <c r="C248" s="14"/>
    </row>
    <row r="249" ht="36.0" customHeight="1">
      <c r="A249" s="14"/>
      <c r="B249" s="14"/>
      <c r="C249" s="14"/>
    </row>
    <row r="250" ht="36.0" customHeight="1">
      <c r="A250" s="14"/>
      <c r="B250" s="14"/>
      <c r="C250" s="14"/>
    </row>
    <row r="251" ht="36.0" customHeight="1">
      <c r="A251" s="14"/>
      <c r="B251" s="14"/>
      <c r="C251" s="14"/>
    </row>
    <row r="252" ht="36.0" customHeight="1">
      <c r="A252" s="14"/>
      <c r="B252" s="14"/>
      <c r="C252" s="14"/>
    </row>
    <row r="253" ht="36.0" customHeight="1">
      <c r="A253" s="14"/>
      <c r="B253" s="14"/>
      <c r="C253" s="14"/>
    </row>
    <row r="254" ht="36.0" customHeight="1">
      <c r="A254" s="14"/>
      <c r="B254" s="14"/>
      <c r="C254" s="14"/>
    </row>
    <row r="255" ht="36.0" customHeight="1">
      <c r="A255" s="14"/>
      <c r="B255" s="14"/>
      <c r="C255" s="14"/>
    </row>
    <row r="256" ht="36.0" customHeight="1">
      <c r="A256" s="14"/>
      <c r="B256" s="14"/>
      <c r="C256" s="14"/>
    </row>
    <row r="257" ht="36.0" customHeight="1">
      <c r="A257" s="14"/>
      <c r="B257" s="14"/>
      <c r="C257" s="14"/>
    </row>
    <row r="258" ht="36.0" customHeight="1">
      <c r="A258" s="14"/>
      <c r="B258" s="14"/>
      <c r="C258" s="14"/>
    </row>
    <row r="259" ht="36.0" customHeight="1">
      <c r="A259" s="14"/>
      <c r="B259" s="14"/>
      <c r="C259" s="14"/>
    </row>
    <row r="260" ht="36.0" customHeight="1">
      <c r="A260" s="14"/>
      <c r="B260" s="14"/>
      <c r="C260" s="14"/>
    </row>
    <row r="261" ht="36.0" customHeight="1">
      <c r="A261" s="14"/>
      <c r="B261" s="14"/>
      <c r="C261" s="14"/>
    </row>
    <row r="262" ht="36.0" customHeight="1">
      <c r="A262" s="14"/>
      <c r="B262" s="14"/>
      <c r="C262" s="14"/>
    </row>
    <row r="263" ht="36.0" customHeight="1">
      <c r="A263" s="14"/>
      <c r="B263" s="14"/>
      <c r="C263" s="14"/>
    </row>
    <row r="264" ht="36.0" customHeight="1">
      <c r="A264" s="14"/>
      <c r="B264" s="14"/>
      <c r="C264" s="14"/>
    </row>
    <row r="265" ht="36.0" customHeight="1">
      <c r="A265" s="14"/>
      <c r="B265" s="14"/>
      <c r="C265" s="14"/>
    </row>
    <row r="266" ht="36.0" customHeight="1">
      <c r="A266" s="14"/>
      <c r="B266" s="14"/>
      <c r="C266" s="14"/>
    </row>
    <row r="267" ht="36.0" customHeight="1">
      <c r="A267" s="14"/>
      <c r="B267" s="14"/>
      <c r="C267" s="14"/>
    </row>
    <row r="268" ht="36.0" customHeight="1">
      <c r="A268" s="14"/>
      <c r="B268" s="14"/>
      <c r="C268" s="14"/>
    </row>
    <row r="269" ht="36.0" customHeight="1">
      <c r="A269" s="14"/>
      <c r="B269" s="14"/>
      <c r="C269" s="14"/>
    </row>
    <row r="270" ht="36.0" customHeight="1">
      <c r="A270" s="14"/>
      <c r="B270" s="14"/>
      <c r="C270" s="14"/>
    </row>
    <row r="271" ht="36.0" customHeight="1">
      <c r="A271" s="14"/>
      <c r="B271" s="14"/>
      <c r="C271" s="14"/>
    </row>
    <row r="272" ht="36.0" customHeight="1">
      <c r="A272" s="14"/>
      <c r="B272" s="14"/>
      <c r="C272" s="14"/>
    </row>
    <row r="273" ht="36.0" customHeight="1">
      <c r="A273" s="14"/>
      <c r="B273" s="14"/>
      <c r="C273" s="14"/>
    </row>
    <row r="274" ht="36.0" customHeight="1">
      <c r="A274" s="14"/>
      <c r="B274" s="14"/>
      <c r="C274" s="14"/>
    </row>
    <row r="275" ht="36.0" customHeight="1">
      <c r="A275" s="14"/>
      <c r="B275" s="14"/>
      <c r="C275" s="14"/>
    </row>
    <row r="276" ht="36.0" customHeight="1">
      <c r="A276" s="14"/>
      <c r="B276" s="14"/>
      <c r="C276" s="14"/>
    </row>
    <row r="277" ht="36.0" customHeight="1">
      <c r="A277" s="14"/>
      <c r="B277" s="14"/>
      <c r="C277" s="14"/>
    </row>
    <row r="278" ht="36.0" customHeight="1">
      <c r="A278" s="14"/>
      <c r="B278" s="14"/>
      <c r="C278" s="14"/>
    </row>
    <row r="279" ht="36.0" customHeight="1">
      <c r="A279" s="14"/>
      <c r="B279" s="14"/>
      <c r="C279" s="14"/>
    </row>
    <row r="280" ht="36.0" customHeight="1">
      <c r="A280" s="14"/>
      <c r="B280" s="14"/>
      <c r="C280" s="14"/>
    </row>
    <row r="281" ht="36.0" customHeight="1">
      <c r="A281" s="14"/>
      <c r="B281" s="14"/>
      <c r="C281" s="14"/>
    </row>
    <row r="282" ht="36.0" customHeight="1">
      <c r="A282" s="14"/>
      <c r="B282" s="14"/>
      <c r="C282" s="14"/>
    </row>
    <row r="283" ht="36.0" customHeight="1">
      <c r="A283" s="14"/>
      <c r="B283" s="14"/>
      <c r="C283" s="14"/>
    </row>
    <row r="284" ht="36.0" customHeight="1">
      <c r="A284" s="14"/>
      <c r="B284" s="14"/>
      <c r="C284" s="14"/>
    </row>
    <row r="285" ht="36.0" customHeight="1">
      <c r="A285" s="14"/>
      <c r="B285" s="14"/>
      <c r="C285" s="14"/>
    </row>
    <row r="286" ht="36.0" customHeight="1">
      <c r="A286" s="14"/>
      <c r="B286" s="14"/>
      <c r="C286" s="14"/>
    </row>
    <row r="287" ht="36.0" customHeight="1">
      <c r="A287" s="14"/>
      <c r="B287" s="14"/>
      <c r="C287" s="14"/>
    </row>
    <row r="288" ht="36.0" customHeight="1">
      <c r="A288" s="14"/>
      <c r="B288" s="14"/>
      <c r="C288" s="14"/>
    </row>
    <row r="289" ht="36.0" customHeight="1">
      <c r="A289" s="14"/>
      <c r="B289" s="14"/>
      <c r="C289" s="14"/>
    </row>
    <row r="290" ht="36.0" customHeight="1">
      <c r="A290" s="14"/>
      <c r="B290" s="14"/>
      <c r="C290" s="14"/>
    </row>
    <row r="291" ht="36.0" customHeight="1">
      <c r="A291" s="14"/>
      <c r="B291" s="14"/>
      <c r="C291" s="14"/>
    </row>
    <row r="292" ht="36.0" customHeight="1">
      <c r="A292" s="14"/>
      <c r="B292" s="14"/>
      <c r="C292" s="14"/>
    </row>
    <row r="293" ht="36.0" customHeight="1">
      <c r="A293" s="14"/>
      <c r="B293" s="14"/>
      <c r="C293" s="14"/>
    </row>
    <row r="294" ht="36.0" customHeight="1">
      <c r="A294" s="14"/>
      <c r="B294" s="14"/>
      <c r="C294" s="14"/>
    </row>
    <row r="295" ht="36.0" customHeight="1">
      <c r="A295" s="14"/>
      <c r="B295" s="14"/>
      <c r="C295" s="14"/>
    </row>
    <row r="296" ht="36.0" customHeight="1">
      <c r="A296" s="14"/>
      <c r="B296" s="14"/>
      <c r="C296" s="14"/>
    </row>
    <row r="297" ht="36.0" customHeight="1">
      <c r="A297" s="14"/>
      <c r="B297" s="14"/>
      <c r="C297" s="14"/>
    </row>
    <row r="298" ht="36.0" customHeight="1">
      <c r="A298" s="14"/>
      <c r="B298" s="14"/>
      <c r="C298" s="14"/>
    </row>
    <row r="299" ht="36.0" customHeight="1">
      <c r="A299" s="14"/>
      <c r="B299" s="14"/>
      <c r="C299" s="14"/>
    </row>
    <row r="300" ht="36.0" customHeight="1">
      <c r="A300" s="14"/>
      <c r="B300" s="14"/>
      <c r="C300" s="14"/>
    </row>
    <row r="301" ht="36.0" customHeight="1">
      <c r="A301" s="14"/>
      <c r="B301" s="14"/>
      <c r="C301" s="14"/>
    </row>
    <row r="302" ht="36.0" customHeight="1">
      <c r="A302" s="14"/>
      <c r="B302" s="14"/>
      <c r="C302" s="14"/>
    </row>
    <row r="303" ht="36.0" customHeight="1">
      <c r="A303" s="14"/>
      <c r="B303" s="14"/>
      <c r="C303" s="14"/>
    </row>
    <row r="304" ht="36.0" customHeight="1">
      <c r="A304" s="14"/>
      <c r="B304" s="14"/>
      <c r="C304" s="14"/>
    </row>
    <row r="305" ht="36.0" customHeight="1">
      <c r="A305" s="14"/>
      <c r="B305" s="14"/>
      <c r="C305" s="14"/>
    </row>
    <row r="306" ht="36.0" customHeight="1">
      <c r="A306" s="14"/>
      <c r="B306" s="14"/>
      <c r="C306" s="14"/>
    </row>
    <row r="307" ht="36.0" customHeight="1">
      <c r="A307" s="14"/>
      <c r="B307" s="14"/>
      <c r="C307" s="14"/>
    </row>
    <row r="308" ht="36.0" customHeight="1">
      <c r="A308" s="14"/>
      <c r="B308" s="14"/>
      <c r="C308" s="14"/>
    </row>
    <row r="309" ht="36.0" customHeight="1">
      <c r="A309" s="14"/>
      <c r="B309" s="14"/>
      <c r="C309" s="14"/>
    </row>
    <row r="310" ht="36.0" customHeight="1">
      <c r="A310" s="14"/>
      <c r="B310" s="14"/>
      <c r="C310" s="14"/>
    </row>
    <row r="311" ht="36.0" customHeight="1">
      <c r="A311" s="14"/>
      <c r="B311" s="14"/>
      <c r="C311" s="14"/>
    </row>
    <row r="312" ht="36.0" customHeight="1">
      <c r="A312" s="14"/>
      <c r="B312" s="14"/>
      <c r="C312" s="14"/>
    </row>
    <row r="313" ht="36.0" customHeight="1">
      <c r="A313" s="14"/>
      <c r="B313" s="14"/>
      <c r="C313" s="14"/>
    </row>
    <row r="314" ht="36.0" customHeight="1">
      <c r="A314" s="14"/>
      <c r="B314" s="14"/>
      <c r="C314" s="14"/>
    </row>
    <row r="315" ht="36.0" customHeight="1">
      <c r="A315" s="14"/>
      <c r="B315" s="14"/>
      <c r="C315" s="14"/>
    </row>
    <row r="316" ht="36.0" customHeight="1">
      <c r="A316" s="14"/>
      <c r="B316" s="14"/>
      <c r="C316" s="14"/>
    </row>
    <row r="317" ht="36.0" customHeight="1">
      <c r="A317" s="14"/>
      <c r="B317" s="14"/>
      <c r="C317" s="14"/>
    </row>
    <row r="318" ht="36.0" customHeight="1">
      <c r="A318" s="14"/>
      <c r="B318" s="14"/>
      <c r="C318" s="14"/>
    </row>
    <row r="319" ht="36.0" customHeight="1">
      <c r="A319" s="14"/>
      <c r="B319" s="14"/>
      <c r="C319" s="14"/>
    </row>
    <row r="320" ht="36.0" customHeight="1">
      <c r="A320" s="14"/>
      <c r="B320" s="14"/>
      <c r="C320" s="14"/>
    </row>
    <row r="321" ht="36.0" customHeight="1">
      <c r="A321" s="14"/>
      <c r="B321" s="14"/>
      <c r="C321" s="14"/>
    </row>
    <row r="322" ht="36.0" customHeight="1">
      <c r="A322" s="14"/>
      <c r="B322" s="14"/>
      <c r="C322" s="14"/>
    </row>
    <row r="323" ht="36.0" customHeight="1">
      <c r="A323" s="14"/>
      <c r="B323" s="14"/>
      <c r="C323" s="14"/>
    </row>
    <row r="324" ht="36.0" customHeight="1">
      <c r="A324" s="14"/>
      <c r="B324" s="14"/>
      <c r="C324" s="14"/>
    </row>
    <row r="325" ht="36.0" customHeight="1">
      <c r="A325" s="14"/>
      <c r="B325" s="14"/>
      <c r="C325" s="14"/>
    </row>
    <row r="326" ht="36.0" customHeight="1">
      <c r="A326" s="14"/>
      <c r="B326" s="14"/>
      <c r="C326" s="14"/>
    </row>
    <row r="327" ht="36.0" customHeight="1">
      <c r="A327" s="14"/>
      <c r="B327" s="14"/>
      <c r="C327" s="14"/>
    </row>
    <row r="328" ht="36.0" customHeight="1">
      <c r="A328" s="14"/>
      <c r="B328" s="14"/>
      <c r="C328" s="14"/>
    </row>
    <row r="329" ht="36.0" customHeight="1">
      <c r="A329" s="14"/>
      <c r="B329" s="14"/>
      <c r="C329" s="14"/>
    </row>
    <row r="330" ht="36.0" customHeight="1">
      <c r="A330" s="14"/>
      <c r="B330" s="14"/>
      <c r="C330" s="14"/>
    </row>
    <row r="331" ht="36.0" customHeight="1">
      <c r="A331" s="14"/>
      <c r="B331" s="14"/>
      <c r="C331" s="14"/>
    </row>
    <row r="332" ht="36.0" customHeight="1">
      <c r="A332" s="14"/>
      <c r="B332" s="14"/>
      <c r="C332" s="14"/>
    </row>
    <row r="333" ht="36.0" customHeight="1">
      <c r="A333" s="14"/>
      <c r="B333" s="14"/>
      <c r="C333" s="14"/>
    </row>
    <row r="334" ht="36.0" customHeight="1">
      <c r="A334" s="14"/>
      <c r="B334" s="14"/>
      <c r="C334" s="14"/>
    </row>
    <row r="335" ht="36.0" customHeight="1">
      <c r="A335" s="14"/>
      <c r="B335" s="14"/>
      <c r="C335" s="14"/>
    </row>
    <row r="336" ht="36.0" customHeight="1">
      <c r="A336" s="14"/>
      <c r="B336" s="14"/>
      <c r="C336" s="14"/>
    </row>
    <row r="337" ht="36.0" customHeight="1">
      <c r="A337" s="14"/>
      <c r="B337" s="14"/>
      <c r="C337" s="14"/>
    </row>
    <row r="338" ht="36.0" customHeight="1">
      <c r="A338" s="14"/>
      <c r="B338" s="14"/>
      <c r="C338" s="14"/>
    </row>
    <row r="339" ht="36.0" customHeight="1">
      <c r="A339" s="14"/>
      <c r="B339" s="14"/>
      <c r="C339" s="14"/>
    </row>
    <row r="340" ht="36.0" customHeight="1">
      <c r="A340" s="14"/>
      <c r="B340" s="14"/>
      <c r="C340" s="14"/>
    </row>
    <row r="341" ht="36.0" customHeight="1">
      <c r="A341" s="14"/>
      <c r="B341" s="14"/>
      <c r="C341" s="14"/>
    </row>
    <row r="342" ht="36.0" customHeight="1">
      <c r="A342" s="14"/>
      <c r="B342" s="14"/>
      <c r="C342" s="14"/>
    </row>
    <row r="343" ht="36.0" customHeight="1">
      <c r="A343" s="14"/>
      <c r="B343" s="14"/>
      <c r="C343" s="14"/>
    </row>
    <row r="344" ht="36.0" customHeight="1">
      <c r="A344" s="14"/>
      <c r="B344" s="14"/>
      <c r="C344" s="14"/>
    </row>
    <row r="345" ht="36.0" customHeight="1">
      <c r="A345" s="14"/>
      <c r="B345" s="14"/>
      <c r="C345" s="14"/>
    </row>
    <row r="346" ht="36.0" customHeight="1">
      <c r="A346" s="14"/>
      <c r="B346" s="14"/>
      <c r="C346" s="14"/>
    </row>
    <row r="347" ht="36.0" customHeight="1">
      <c r="A347" s="14"/>
      <c r="B347" s="14"/>
      <c r="C347" s="14"/>
    </row>
    <row r="348" ht="36.0" customHeight="1">
      <c r="A348" s="14"/>
      <c r="B348" s="14"/>
      <c r="C348" s="14"/>
    </row>
    <row r="349" ht="36.0" customHeight="1">
      <c r="A349" s="14"/>
      <c r="B349" s="14"/>
      <c r="C349" s="14"/>
    </row>
    <row r="350" ht="36.0" customHeight="1">
      <c r="A350" s="14"/>
      <c r="B350" s="14"/>
      <c r="C350" s="14"/>
    </row>
    <row r="351" ht="36.0" customHeight="1">
      <c r="A351" s="14"/>
      <c r="B351" s="14"/>
      <c r="C351" s="14"/>
    </row>
    <row r="352" ht="36.0" customHeight="1">
      <c r="A352" s="14"/>
      <c r="B352" s="14"/>
      <c r="C352" s="14"/>
    </row>
    <row r="353" ht="36.0" customHeight="1">
      <c r="A353" s="14"/>
      <c r="B353" s="14"/>
      <c r="C353" s="14"/>
    </row>
    <row r="354" ht="36.0" customHeight="1">
      <c r="A354" s="14"/>
      <c r="B354" s="14"/>
      <c r="C354" s="14"/>
    </row>
    <row r="355" ht="36.0" customHeight="1">
      <c r="A355" s="14"/>
      <c r="B355" s="14"/>
      <c r="C355" s="14"/>
    </row>
    <row r="356" ht="36.0" customHeight="1">
      <c r="A356" s="14"/>
      <c r="B356" s="14"/>
      <c r="C356" s="14"/>
    </row>
    <row r="357" ht="36.0" customHeight="1">
      <c r="A357" s="14"/>
      <c r="B357" s="14"/>
      <c r="C357" s="14"/>
    </row>
    <row r="358" ht="36.0" customHeight="1">
      <c r="A358" s="14"/>
      <c r="B358" s="14"/>
      <c r="C358" s="14"/>
    </row>
    <row r="359" ht="36.0" customHeight="1">
      <c r="A359" s="14"/>
      <c r="B359" s="14"/>
      <c r="C359" s="14"/>
    </row>
    <row r="360" ht="36.0" customHeight="1">
      <c r="A360" s="14"/>
      <c r="B360" s="14"/>
      <c r="C360" s="14"/>
    </row>
    <row r="361" ht="36.0" customHeight="1">
      <c r="A361" s="14"/>
      <c r="B361" s="14"/>
      <c r="C361" s="14"/>
    </row>
    <row r="362" ht="36.0" customHeight="1">
      <c r="A362" s="14"/>
      <c r="B362" s="14"/>
      <c r="C362" s="14"/>
    </row>
    <row r="363" ht="36.0" customHeight="1">
      <c r="A363" s="14"/>
      <c r="B363" s="14"/>
      <c r="C363" s="14"/>
    </row>
    <row r="364" ht="36.0" customHeight="1">
      <c r="A364" s="14"/>
      <c r="B364" s="14"/>
      <c r="C364" s="14"/>
    </row>
    <row r="365" ht="36.0" customHeight="1">
      <c r="A365" s="14"/>
      <c r="B365" s="14"/>
      <c r="C365" s="14"/>
    </row>
    <row r="366" ht="36.0" customHeight="1">
      <c r="A366" s="14"/>
      <c r="B366" s="14"/>
      <c r="C366" s="14"/>
    </row>
    <row r="367" ht="36.0" customHeight="1">
      <c r="A367" s="14"/>
      <c r="B367" s="14"/>
      <c r="C367" s="14"/>
    </row>
    <row r="368" ht="36.0" customHeight="1">
      <c r="A368" s="14"/>
      <c r="B368" s="14"/>
      <c r="C368" s="14"/>
    </row>
    <row r="369" ht="36.0" customHeight="1">
      <c r="A369" s="14"/>
      <c r="B369" s="14"/>
      <c r="C369" s="14"/>
    </row>
    <row r="370" ht="36.0" customHeight="1">
      <c r="A370" s="14"/>
      <c r="B370" s="14"/>
      <c r="C370" s="14"/>
    </row>
    <row r="371" ht="36.0" customHeight="1">
      <c r="A371" s="14"/>
      <c r="B371" s="14"/>
      <c r="C371" s="14"/>
    </row>
    <row r="372" ht="36.0" customHeight="1">
      <c r="A372" s="14"/>
      <c r="B372" s="14"/>
      <c r="C372" s="14"/>
    </row>
    <row r="373" ht="36.0" customHeight="1">
      <c r="A373" s="14"/>
      <c r="B373" s="14"/>
      <c r="C373" s="14"/>
    </row>
    <row r="374" ht="36.0" customHeight="1">
      <c r="A374" s="14"/>
      <c r="B374" s="14"/>
      <c r="C374" s="14"/>
    </row>
    <row r="375" ht="36.0" customHeight="1">
      <c r="A375" s="14"/>
      <c r="B375" s="14"/>
      <c r="C375" s="14"/>
    </row>
    <row r="376" ht="36.0" customHeight="1">
      <c r="A376" s="14"/>
      <c r="B376" s="14"/>
      <c r="C376" s="14"/>
    </row>
    <row r="377" ht="36.0" customHeight="1">
      <c r="A377" s="14"/>
      <c r="B377" s="14"/>
      <c r="C377" s="14"/>
    </row>
    <row r="378" ht="36.0" customHeight="1">
      <c r="A378" s="14"/>
      <c r="B378" s="14"/>
      <c r="C378" s="14"/>
    </row>
    <row r="379" ht="36.0" customHeight="1">
      <c r="A379" s="14"/>
      <c r="B379" s="14"/>
      <c r="C379" s="14"/>
    </row>
    <row r="380" ht="36.0" customHeight="1">
      <c r="A380" s="14"/>
      <c r="B380" s="14"/>
      <c r="C380" s="14"/>
    </row>
    <row r="381" ht="36.0" customHeight="1">
      <c r="A381" s="14"/>
      <c r="B381" s="14"/>
      <c r="C381" s="14"/>
    </row>
    <row r="382" ht="36.0" customHeight="1">
      <c r="A382" s="14"/>
      <c r="B382" s="14"/>
      <c r="C382" s="14"/>
    </row>
    <row r="383" ht="36.0" customHeight="1">
      <c r="A383" s="14"/>
      <c r="B383" s="14"/>
      <c r="C383" s="14"/>
    </row>
    <row r="384" ht="36.0" customHeight="1">
      <c r="A384" s="14"/>
      <c r="B384" s="14"/>
      <c r="C384" s="14"/>
    </row>
    <row r="385" ht="36.0" customHeight="1">
      <c r="A385" s="14"/>
      <c r="B385" s="14"/>
      <c r="C385" s="14"/>
    </row>
    <row r="386" ht="36.0" customHeight="1">
      <c r="A386" s="14"/>
      <c r="B386" s="14"/>
      <c r="C386" s="14"/>
    </row>
    <row r="387" ht="36.0" customHeight="1">
      <c r="A387" s="14"/>
      <c r="B387" s="14"/>
      <c r="C387" s="14"/>
    </row>
    <row r="388" ht="36.0" customHeight="1">
      <c r="A388" s="14"/>
      <c r="B388" s="14"/>
      <c r="C388" s="14"/>
    </row>
    <row r="389" ht="36.0" customHeight="1">
      <c r="A389" s="14"/>
      <c r="B389" s="14"/>
      <c r="C389" s="14"/>
    </row>
    <row r="390" ht="36.0" customHeight="1">
      <c r="A390" s="14"/>
      <c r="B390" s="14"/>
      <c r="C390" s="14"/>
    </row>
    <row r="391" ht="36.0" customHeight="1">
      <c r="A391" s="14"/>
      <c r="B391" s="14"/>
      <c r="C391" s="14"/>
    </row>
    <row r="392" ht="36.0" customHeight="1">
      <c r="A392" s="14"/>
      <c r="B392" s="14"/>
      <c r="C392" s="14"/>
    </row>
    <row r="393" ht="36.0" customHeight="1">
      <c r="A393" s="14"/>
      <c r="B393" s="14"/>
      <c r="C393" s="14"/>
    </row>
    <row r="394" ht="36.0" customHeight="1">
      <c r="A394" s="14"/>
      <c r="B394" s="14"/>
      <c r="C394" s="14"/>
    </row>
    <row r="395" ht="36.0" customHeight="1">
      <c r="A395" s="14"/>
      <c r="B395" s="14"/>
      <c r="C395" s="14"/>
    </row>
    <row r="396" ht="36.0" customHeight="1">
      <c r="A396" s="14"/>
      <c r="B396" s="14"/>
      <c r="C396" s="14"/>
    </row>
    <row r="397" ht="36.0" customHeight="1">
      <c r="A397" s="14"/>
      <c r="B397" s="14"/>
      <c r="C397" s="14"/>
    </row>
    <row r="398" ht="36.0" customHeight="1">
      <c r="A398" s="14"/>
      <c r="B398" s="14"/>
      <c r="C398" s="14"/>
    </row>
    <row r="399" ht="36.0" customHeight="1">
      <c r="A399" s="14"/>
      <c r="B399" s="14"/>
      <c r="C399" s="14"/>
    </row>
    <row r="400" ht="36.0" customHeight="1">
      <c r="A400" s="14"/>
      <c r="B400" s="14"/>
      <c r="C400" s="14"/>
    </row>
    <row r="401" ht="36.0" customHeight="1">
      <c r="A401" s="14"/>
      <c r="B401" s="14"/>
      <c r="C401" s="14"/>
    </row>
    <row r="402" ht="36.0" customHeight="1">
      <c r="A402" s="14"/>
      <c r="B402" s="14"/>
      <c r="C402" s="14"/>
    </row>
    <row r="403" ht="36.0" customHeight="1">
      <c r="A403" s="14"/>
      <c r="B403" s="14"/>
      <c r="C403" s="14"/>
    </row>
    <row r="404" ht="36.0" customHeight="1">
      <c r="A404" s="14"/>
      <c r="B404" s="14"/>
      <c r="C404" s="14"/>
    </row>
    <row r="405" ht="36.0" customHeight="1">
      <c r="A405" s="14"/>
      <c r="B405" s="14"/>
      <c r="C405" s="14"/>
    </row>
    <row r="406" ht="36.0" customHeight="1">
      <c r="A406" s="14"/>
      <c r="B406" s="14"/>
      <c r="C406" s="14"/>
    </row>
    <row r="407" ht="36.0" customHeight="1">
      <c r="A407" s="14"/>
      <c r="B407" s="14"/>
      <c r="C407" s="14"/>
    </row>
    <row r="408" ht="36.0" customHeight="1">
      <c r="A408" s="14"/>
      <c r="B408" s="14"/>
      <c r="C408" s="14"/>
    </row>
    <row r="409" ht="36.0" customHeight="1">
      <c r="A409" s="14"/>
      <c r="B409" s="14"/>
      <c r="C409" s="14"/>
    </row>
    <row r="410" ht="36.0" customHeight="1">
      <c r="A410" s="14"/>
      <c r="B410" s="14"/>
      <c r="C410" s="14"/>
    </row>
    <row r="411" ht="36.0" customHeight="1">
      <c r="A411" s="14"/>
      <c r="B411" s="14"/>
      <c r="C411" s="14"/>
    </row>
    <row r="412" ht="36.0" customHeight="1">
      <c r="A412" s="14"/>
      <c r="B412" s="14"/>
      <c r="C412" s="14"/>
    </row>
    <row r="413" ht="36.0" customHeight="1">
      <c r="A413" s="14"/>
      <c r="B413" s="14"/>
      <c r="C413" s="14"/>
    </row>
    <row r="414" ht="36.0" customHeight="1">
      <c r="A414" s="14"/>
      <c r="B414" s="14"/>
      <c r="C414" s="14"/>
    </row>
    <row r="415" ht="36.0" customHeight="1">
      <c r="A415" s="14"/>
      <c r="B415" s="14"/>
      <c r="C415" s="14"/>
    </row>
    <row r="416" ht="36.0" customHeight="1">
      <c r="A416" s="14"/>
      <c r="B416" s="14"/>
      <c r="C416" s="14"/>
    </row>
    <row r="417" ht="36.0" customHeight="1">
      <c r="A417" s="14"/>
      <c r="B417" s="14"/>
      <c r="C417" s="14"/>
    </row>
    <row r="418" ht="36.0" customHeight="1">
      <c r="A418" s="14"/>
      <c r="B418" s="14"/>
      <c r="C418" s="14"/>
    </row>
    <row r="419" ht="36.0" customHeight="1">
      <c r="A419" s="14"/>
      <c r="B419" s="14"/>
      <c r="C419" s="14"/>
    </row>
    <row r="420" ht="36.0" customHeight="1">
      <c r="A420" s="14"/>
      <c r="B420" s="14"/>
      <c r="C420" s="14"/>
    </row>
    <row r="421" ht="36.0" customHeight="1">
      <c r="A421" s="14"/>
      <c r="B421" s="14"/>
      <c r="C421" s="14"/>
    </row>
    <row r="422" ht="36.0" customHeight="1">
      <c r="A422" s="14"/>
      <c r="B422" s="14"/>
      <c r="C422" s="14"/>
    </row>
    <row r="423" ht="36.0" customHeight="1">
      <c r="A423" s="14"/>
      <c r="B423" s="14"/>
      <c r="C423" s="14"/>
    </row>
    <row r="424" ht="36.0" customHeight="1">
      <c r="A424" s="14"/>
      <c r="B424" s="14"/>
      <c r="C424" s="14"/>
    </row>
    <row r="425" ht="36.0" customHeight="1">
      <c r="A425" s="14"/>
      <c r="B425" s="14"/>
      <c r="C425" s="14"/>
    </row>
    <row r="426" ht="36.0" customHeight="1">
      <c r="A426" s="14"/>
      <c r="B426" s="14"/>
      <c r="C426" s="14"/>
    </row>
    <row r="427" ht="36.0" customHeight="1">
      <c r="A427" s="14"/>
      <c r="B427" s="14"/>
      <c r="C427" s="14"/>
    </row>
    <row r="428" ht="36.0" customHeight="1">
      <c r="A428" s="14"/>
      <c r="B428" s="14"/>
      <c r="C428" s="14"/>
    </row>
    <row r="429" ht="36.0" customHeight="1">
      <c r="A429" s="14"/>
      <c r="B429" s="14"/>
      <c r="C429" s="14"/>
    </row>
    <row r="430" ht="36.0" customHeight="1">
      <c r="A430" s="14"/>
      <c r="B430" s="14"/>
      <c r="C430" s="14"/>
    </row>
    <row r="431" ht="36.0" customHeight="1">
      <c r="A431" s="14"/>
      <c r="B431" s="14"/>
      <c r="C431" s="14"/>
    </row>
    <row r="432" ht="36.0" customHeight="1">
      <c r="A432" s="14"/>
      <c r="B432" s="14"/>
      <c r="C432" s="14"/>
    </row>
    <row r="433" ht="36.0" customHeight="1">
      <c r="A433" s="14"/>
      <c r="B433" s="14"/>
      <c r="C433" s="14"/>
    </row>
    <row r="434" ht="36.0" customHeight="1">
      <c r="A434" s="14"/>
      <c r="B434" s="14"/>
      <c r="C434" s="14"/>
    </row>
    <row r="435" ht="36.0" customHeight="1">
      <c r="A435" s="14"/>
      <c r="B435" s="14"/>
      <c r="C435" s="14"/>
    </row>
    <row r="436" ht="36.0" customHeight="1">
      <c r="A436" s="14"/>
      <c r="B436" s="14"/>
      <c r="C436" s="14"/>
    </row>
    <row r="437" ht="36.0" customHeight="1">
      <c r="A437" s="14"/>
      <c r="B437" s="14"/>
      <c r="C437" s="14"/>
    </row>
    <row r="438" ht="36.0" customHeight="1">
      <c r="A438" s="14"/>
      <c r="B438" s="14"/>
      <c r="C438" s="14"/>
    </row>
    <row r="439" ht="36.0" customHeight="1">
      <c r="A439" s="14"/>
      <c r="B439" s="14"/>
      <c r="C439" s="14"/>
    </row>
    <row r="440" ht="36.0" customHeight="1">
      <c r="A440" s="14"/>
      <c r="B440" s="14"/>
      <c r="C440" s="14"/>
    </row>
    <row r="441" ht="36.0" customHeight="1">
      <c r="A441" s="14"/>
      <c r="B441" s="14"/>
      <c r="C441" s="14"/>
    </row>
    <row r="442" ht="36.0" customHeight="1">
      <c r="A442" s="14"/>
      <c r="B442" s="14"/>
      <c r="C442" s="14"/>
    </row>
    <row r="443" ht="36.0" customHeight="1">
      <c r="A443" s="14"/>
      <c r="B443" s="14"/>
      <c r="C443" s="14"/>
    </row>
    <row r="444" ht="36.0" customHeight="1">
      <c r="A444" s="14"/>
      <c r="B444" s="14"/>
      <c r="C444" s="14"/>
    </row>
    <row r="445" ht="36.0" customHeight="1">
      <c r="A445" s="14"/>
      <c r="B445" s="14"/>
      <c r="C445" s="14"/>
    </row>
    <row r="446" ht="36.0" customHeight="1">
      <c r="A446" s="14"/>
      <c r="B446" s="14"/>
      <c r="C446" s="14"/>
    </row>
    <row r="447" ht="36.0" customHeight="1">
      <c r="A447" s="14"/>
      <c r="B447" s="14"/>
      <c r="C447" s="14"/>
    </row>
    <row r="448" ht="36.0" customHeight="1">
      <c r="A448" s="14"/>
      <c r="B448" s="14"/>
      <c r="C448" s="14"/>
    </row>
    <row r="449" ht="36.0" customHeight="1">
      <c r="A449" s="14"/>
      <c r="B449" s="14"/>
      <c r="C449" s="14"/>
    </row>
    <row r="450" ht="36.0" customHeight="1">
      <c r="A450" s="14"/>
      <c r="B450" s="14"/>
      <c r="C450" s="14"/>
    </row>
    <row r="451" ht="36.0" customHeight="1">
      <c r="A451" s="14"/>
      <c r="B451" s="14"/>
      <c r="C451" s="14"/>
    </row>
    <row r="452" ht="36.0" customHeight="1">
      <c r="A452" s="14"/>
      <c r="B452" s="14"/>
      <c r="C452" s="14"/>
    </row>
    <row r="453" ht="36.0" customHeight="1">
      <c r="A453" s="14"/>
      <c r="B453" s="14"/>
      <c r="C453" s="14"/>
    </row>
    <row r="454" ht="36.0" customHeight="1">
      <c r="A454" s="14"/>
      <c r="B454" s="14"/>
      <c r="C454" s="14"/>
    </row>
    <row r="455" ht="36.0" customHeight="1">
      <c r="A455" s="14"/>
      <c r="B455" s="14"/>
      <c r="C455" s="14"/>
    </row>
    <row r="456" ht="36.0" customHeight="1">
      <c r="A456" s="14"/>
      <c r="B456" s="14"/>
      <c r="C456" s="14"/>
    </row>
    <row r="457" ht="36.0" customHeight="1">
      <c r="A457" s="14"/>
      <c r="B457" s="14"/>
      <c r="C457" s="14"/>
    </row>
    <row r="458" ht="36.0" customHeight="1">
      <c r="A458" s="14"/>
      <c r="B458" s="14"/>
      <c r="C458" s="14"/>
    </row>
    <row r="459" ht="36.0" customHeight="1">
      <c r="A459" s="14"/>
      <c r="B459" s="14"/>
      <c r="C459" s="14"/>
    </row>
    <row r="460" ht="36.0" customHeight="1">
      <c r="A460" s="14"/>
      <c r="B460" s="14"/>
      <c r="C460" s="14"/>
    </row>
    <row r="461" ht="36.0" customHeight="1">
      <c r="A461" s="14"/>
      <c r="B461" s="14"/>
      <c r="C461" s="14"/>
    </row>
    <row r="462" ht="36.0" customHeight="1">
      <c r="A462" s="14"/>
      <c r="B462" s="14"/>
      <c r="C462" s="14"/>
    </row>
    <row r="463" ht="36.0" customHeight="1">
      <c r="A463" s="14"/>
      <c r="B463" s="14"/>
      <c r="C463" s="14"/>
    </row>
    <row r="464" ht="36.0" customHeight="1">
      <c r="A464" s="14"/>
      <c r="B464" s="14"/>
      <c r="C464" s="14"/>
    </row>
    <row r="465" ht="36.0" customHeight="1">
      <c r="A465" s="14"/>
      <c r="B465" s="14"/>
      <c r="C465" s="14"/>
    </row>
    <row r="466" ht="36.0" customHeight="1">
      <c r="A466" s="14"/>
      <c r="B466" s="14"/>
      <c r="C466" s="14"/>
    </row>
    <row r="467" ht="36.0" customHeight="1">
      <c r="A467" s="14"/>
      <c r="B467" s="14"/>
      <c r="C467" s="14"/>
    </row>
    <row r="468" ht="36.0" customHeight="1">
      <c r="A468" s="14"/>
      <c r="B468" s="14"/>
      <c r="C468" s="14"/>
    </row>
    <row r="469" ht="36.0" customHeight="1">
      <c r="A469" s="14"/>
      <c r="B469" s="14"/>
      <c r="C469" s="14"/>
    </row>
    <row r="470" ht="36.0" customHeight="1">
      <c r="A470" s="14"/>
      <c r="B470" s="14"/>
      <c r="C470" s="14"/>
    </row>
    <row r="471" ht="36.0" customHeight="1">
      <c r="A471" s="14"/>
      <c r="B471" s="14"/>
      <c r="C471" s="14"/>
    </row>
    <row r="472" ht="36.0" customHeight="1">
      <c r="A472" s="14"/>
      <c r="B472" s="14"/>
      <c r="C472" s="14"/>
    </row>
    <row r="473" ht="36.0" customHeight="1">
      <c r="A473" s="14"/>
      <c r="B473" s="14"/>
      <c r="C473" s="14"/>
    </row>
    <row r="474" ht="36.0" customHeight="1">
      <c r="A474" s="14"/>
      <c r="B474" s="14"/>
      <c r="C474" s="14"/>
    </row>
    <row r="475" ht="36.0" customHeight="1">
      <c r="A475" s="14"/>
      <c r="B475" s="14"/>
      <c r="C475" s="14"/>
    </row>
    <row r="476" ht="36.0" customHeight="1">
      <c r="A476" s="14"/>
      <c r="B476" s="14"/>
      <c r="C476" s="14"/>
    </row>
    <row r="477" ht="36.0" customHeight="1">
      <c r="A477" s="14"/>
      <c r="B477" s="14"/>
      <c r="C477" s="14"/>
    </row>
    <row r="478" ht="36.0" customHeight="1">
      <c r="A478" s="14"/>
      <c r="B478" s="14"/>
      <c r="C478" s="14"/>
    </row>
    <row r="479" ht="36.0" customHeight="1">
      <c r="A479" s="14"/>
      <c r="B479" s="14"/>
      <c r="C479" s="14"/>
    </row>
    <row r="480" ht="36.0" customHeight="1">
      <c r="A480" s="14"/>
      <c r="B480" s="14"/>
      <c r="C480" s="14"/>
    </row>
    <row r="481" ht="36.0" customHeight="1">
      <c r="A481" s="14"/>
      <c r="B481" s="14"/>
      <c r="C481" s="14"/>
    </row>
    <row r="482" ht="36.0" customHeight="1">
      <c r="A482" s="14"/>
      <c r="B482" s="14"/>
      <c r="C482" s="14"/>
    </row>
    <row r="483" ht="36.0" customHeight="1">
      <c r="A483" s="14"/>
      <c r="B483" s="14"/>
      <c r="C483" s="14"/>
    </row>
    <row r="484" ht="36.0" customHeight="1">
      <c r="A484" s="14"/>
      <c r="B484" s="14"/>
      <c r="C484" s="14"/>
    </row>
    <row r="485" ht="36.0" customHeight="1">
      <c r="A485" s="14"/>
      <c r="B485" s="14"/>
      <c r="C485" s="14"/>
    </row>
    <row r="486" ht="36.0" customHeight="1">
      <c r="A486" s="14"/>
      <c r="B486" s="14"/>
      <c r="C486" s="14"/>
    </row>
    <row r="487" ht="36.0" customHeight="1">
      <c r="A487" s="14"/>
      <c r="B487" s="14"/>
      <c r="C487" s="14"/>
    </row>
    <row r="488" ht="36.0" customHeight="1">
      <c r="A488" s="14"/>
      <c r="B488" s="14"/>
      <c r="C488" s="14"/>
    </row>
    <row r="489" ht="36.0" customHeight="1">
      <c r="A489" s="14"/>
      <c r="B489" s="14"/>
      <c r="C489" s="14"/>
    </row>
    <row r="490" ht="36.0" customHeight="1">
      <c r="A490" s="14"/>
      <c r="B490" s="14"/>
      <c r="C490" s="14"/>
    </row>
    <row r="491" ht="36.0" customHeight="1">
      <c r="A491" s="14"/>
      <c r="B491" s="14"/>
      <c r="C491" s="14"/>
    </row>
    <row r="492" ht="36.0" customHeight="1">
      <c r="A492" s="14"/>
      <c r="B492" s="14"/>
      <c r="C492" s="14"/>
    </row>
    <row r="493" ht="36.0" customHeight="1">
      <c r="A493" s="14"/>
      <c r="B493" s="14"/>
      <c r="C493" s="14"/>
    </row>
    <row r="494" ht="36.0" customHeight="1">
      <c r="A494" s="14"/>
      <c r="B494" s="14"/>
      <c r="C494" s="14"/>
    </row>
    <row r="495" ht="36.0" customHeight="1">
      <c r="A495" s="14"/>
      <c r="B495" s="14"/>
      <c r="C495" s="14"/>
    </row>
    <row r="496" ht="36.0" customHeight="1">
      <c r="A496" s="14"/>
      <c r="B496" s="14"/>
      <c r="C496" s="14"/>
    </row>
    <row r="497" ht="36.0" customHeight="1">
      <c r="A497" s="14"/>
      <c r="B497" s="14"/>
      <c r="C497" s="14"/>
    </row>
    <row r="498" ht="36.0" customHeight="1">
      <c r="A498" s="14"/>
      <c r="B498" s="14"/>
      <c r="C498" s="14"/>
    </row>
    <row r="499" ht="36.0" customHeight="1">
      <c r="A499" s="14"/>
      <c r="B499" s="14"/>
      <c r="C499" s="14"/>
    </row>
    <row r="500" ht="36.0" customHeight="1">
      <c r="A500" s="14"/>
      <c r="B500" s="14"/>
      <c r="C500" s="14"/>
    </row>
    <row r="501" ht="36.0" customHeight="1">
      <c r="A501" s="14"/>
      <c r="B501" s="14"/>
      <c r="C501" s="14"/>
    </row>
    <row r="502" ht="36.0" customHeight="1">
      <c r="A502" s="14"/>
      <c r="B502" s="14"/>
      <c r="C502" s="14"/>
    </row>
    <row r="503" ht="36.0" customHeight="1">
      <c r="A503" s="14"/>
      <c r="B503" s="14"/>
      <c r="C503" s="14"/>
    </row>
    <row r="504" ht="36.0" customHeight="1">
      <c r="A504" s="14"/>
      <c r="B504" s="14"/>
      <c r="C504" s="14"/>
    </row>
    <row r="505" ht="36.0" customHeight="1">
      <c r="A505" s="14"/>
      <c r="B505" s="14"/>
      <c r="C505" s="14"/>
    </row>
    <row r="506" ht="36.0" customHeight="1">
      <c r="A506" s="14"/>
      <c r="B506" s="14"/>
      <c r="C506" s="14"/>
    </row>
    <row r="507" ht="36.0" customHeight="1">
      <c r="A507" s="14"/>
      <c r="B507" s="14"/>
      <c r="C507" s="14"/>
    </row>
    <row r="508" ht="36.0" customHeight="1">
      <c r="A508" s="14"/>
      <c r="B508" s="14"/>
      <c r="C508" s="14"/>
    </row>
    <row r="509" ht="36.0" customHeight="1">
      <c r="A509" s="14"/>
      <c r="B509" s="14"/>
      <c r="C509" s="14"/>
    </row>
    <row r="510" ht="36.0" customHeight="1">
      <c r="A510" s="14"/>
      <c r="B510" s="14"/>
      <c r="C510" s="14"/>
    </row>
    <row r="511" ht="36.0" customHeight="1">
      <c r="A511" s="14"/>
      <c r="B511" s="14"/>
      <c r="C511" s="14"/>
    </row>
    <row r="512" ht="36.0" customHeight="1">
      <c r="A512" s="14"/>
      <c r="B512" s="14"/>
      <c r="C512" s="14"/>
    </row>
    <row r="513" ht="36.0" customHeight="1">
      <c r="A513" s="14"/>
      <c r="B513" s="14"/>
      <c r="C513" s="14"/>
    </row>
    <row r="514" ht="36.0" customHeight="1">
      <c r="A514" s="14"/>
      <c r="B514" s="14"/>
      <c r="C514" s="14"/>
    </row>
    <row r="515" ht="36.0" customHeight="1">
      <c r="A515" s="14"/>
      <c r="B515" s="14"/>
      <c r="C515" s="14"/>
    </row>
    <row r="516" ht="36.0" customHeight="1">
      <c r="A516" s="14"/>
      <c r="B516" s="14"/>
      <c r="C516" s="14"/>
    </row>
    <row r="517" ht="36.0" customHeight="1">
      <c r="A517" s="14"/>
      <c r="B517" s="14"/>
      <c r="C517" s="14"/>
    </row>
    <row r="518" ht="36.0" customHeight="1">
      <c r="A518" s="14"/>
      <c r="B518" s="14"/>
      <c r="C518" s="14"/>
    </row>
    <row r="519" ht="36.0" customHeight="1">
      <c r="A519" s="14"/>
      <c r="B519" s="14"/>
      <c r="C519" s="14"/>
    </row>
    <row r="520" ht="36.0" customHeight="1">
      <c r="A520" s="14"/>
      <c r="B520" s="14"/>
      <c r="C520" s="14"/>
    </row>
    <row r="521" ht="36.0" customHeight="1">
      <c r="A521" s="14"/>
      <c r="B521" s="14"/>
      <c r="C521" s="14"/>
    </row>
    <row r="522" ht="36.0" customHeight="1">
      <c r="A522" s="14"/>
      <c r="B522" s="14"/>
      <c r="C522" s="14"/>
    </row>
    <row r="523" ht="36.0" customHeight="1">
      <c r="A523" s="14"/>
      <c r="B523" s="14"/>
      <c r="C523" s="14"/>
    </row>
    <row r="524" ht="36.0" customHeight="1">
      <c r="A524" s="14"/>
      <c r="B524" s="14"/>
      <c r="C524" s="14"/>
    </row>
    <row r="525" ht="36.0" customHeight="1">
      <c r="A525" s="14"/>
      <c r="B525" s="14"/>
      <c r="C525" s="14"/>
    </row>
    <row r="526" ht="36.0" customHeight="1">
      <c r="A526" s="14"/>
      <c r="B526" s="14"/>
      <c r="C526" s="14"/>
    </row>
    <row r="527" ht="36.0" customHeight="1">
      <c r="A527" s="14"/>
      <c r="B527" s="14"/>
      <c r="C527" s="14"/>
    </row>
    <row r="528" ht="36.0" customHeight="1">
      <c r="A528" s="14"/>
      <c r="B528" s="14"/>
      <c r="C528" s="14"/>
    </row>
    <row r="529" ht="36.0" customHeight="1">
      <c r="A529" s="14"/>
      <c r="B529" s="14"/>
      <c r="C529" s="14"/>
    </row>
    <row r="530" ht="36.0" customHeight="1">
      <c r="A530" s="14"/>
      <c r="B530" s="14"/>
      <c r="C530" s="14"/>
    </row>
    <row r="531" ht="36.0" customHeight="1">
      <c r="A531" s="14"/>
      <c r="B531" s="14"/>
      <c r="C531" s="14"/>
    </row>
    <row r="532" ht="36.0" customHeight="1">
      <c r="A532" s="14"/>
      <c r="B532" s="14"/>
      <c r="C532" s="14"/>
    </row>
    <row r="533" ht="36.0" customHeight="1">
      <c r="A533" s="14"/>
      <c r="B533" s="14"/>
      <c r="C533" s="14"/>
    </row>
    <row r="534" ht="36.0" customHeight="1">
      <c r="A534" s="14"/>
      <c r="B534" s="14"/>
      <c r="C534" s="14"/>
    </row>
    <row r="535" ht="36.0" customHeight="1">
      <c r="A535" s="14"/>
      <c r="B535" s="14"/>
      <c r="C535" s="14"/>
    </row>
    <row r="536" ht="36.0" customHeight="1">
      <c r="A536" s="14"/>
      <c r="B536" s="14"/>
      <c r="C536" s="14"/>
    </row>
    <row r="537" ht="36.0" customHeight="1">
      <c r="A537" s="14"/>
      <c r="B537" s="14"/>
      <c r="C537" s="14"/>
    </row>
    <row r="538" ht="36.0" customHeight="1">
      <c r="A538" s="14"/>
      <c r="B538" s="14"/>
      <c r="C538" s="14"/>
    </row>
    <row r="539" ht="36.0" customHeight="1">
      <c r="A539" s="14"/>
      <c r="B539" s="14"/>
      <c r="C539" s="14"/>
    </row>
    <row r="540" ht="36.0" customHeight="1">
      <c r="A540" s="14"/>
      <c r="B540" s="14"/>
      <c r="C540" s="14"/>
    </row>
    <row r="541" ht="36.0" customHeight="1">
      <c r="A541" s="14"/>
      <c r="B541" s="14"/>
      <c r="C541" s="14"/>
    </row>
    <row r="542" ht="36.0" customHeight="1">
      <c r="A542" s="14"/>
      <c r="B542" s="14"/>
      <c r="C542" s="14"/>
    </row>
    <row r="543" ht="36.0" customHeight="1">
      <c r="A543" s="14"/>
      <c r="B543" s="14"/>
      <c r="C543" s="14"/>
    </row>
    <row r="544" ht="36.0" customHeight="1">
      <c r="A544" s="14"/>
      <c r="B544" s="14"/>
      <c r="C544" s="14"/>
    </row>
    <row r="545" ht="36.0" customHeight="1">
      <c r="A545" s="14"/>
      <c r="B545" s="14"/>
      <c r="C545" s="14"/>
    </row>
    <row r="546" ht="36.0" customHeight="1">
      <c r="A546" s="14"/>
      <c r="B546" s="14"/>
      <c r="C546" s="14"/>
    </row>
    <row r="547" ht="36.0" customHeight="1">
      <c r="A547" s="14"/>
      <c r="B547" s="14"/>
      <c r="C547" s="14"/>
    </row>
    <row r="548" ht="36.0" customHeight="1">
      <c r="A548" s="14"/>
      <c r="B548" s="14"/>
      <c r="C548" s="14"/>
    </row>
    <row r="549" ht="36.0" customHeight="1">
      <c r="A549" s="14"/>
      <c r="B549" s="14"/>
      <c r="C549" s="14"/>
    </row>
    <row r="550" ht="36.0" customHeight="1">
      <c r="A550" s="14"/>
      <c r="B550" s="14"/>
      <c r="C550" s="14"/>
    </row>
    <row r="551" ht="36.0" customHeight="1">
      <c r="A551" s="14"/>
      <c r="B551" s="14"/>
      <c r="C551" s="14"/>
    </row>
    <row r="552" ht="36.0" customHeight="1">
      <c r="A552" s="14"/>
      <c r="B552" s="14"/>
      <c r="C552" s="14"/>
    </row>
    <row r="553" ht="36.0" customHeight="1">
      <c r="A553" s="14"/>
      <c r="B553" s="14"/>
      <c r="C553" s="14"/>
    </row>
    <row r="554" ht="36.0" customHeight="1">
      <c r="A554" s="14"/>
      <c r="B554" s="14"/>
      <c r="C554" s="14"/>
    </row>
    <row r="555" ht="36.0" customHeight="1">
      <c r="A555" s="14"/>
      <c r="B555" s="14"/>
      <c r="C555" s="14"/>
    </row>
    <row r="556" ht="36.0" customHeight="1">
      <c r="A556" s="14"/>
      <c r="B556" s="14"/>
      <c r="C556" s="14"/>
    </row>
    <row r="557" ht="36.0" customHeight="1">
      <c r="A557" s="14"/>
      <c r="B557" s="14"/>
      <c r="C557" s="14"/>
    </row>
    <row r="558" ht="36.0" customHeight="1">
      <c r="A558" s="14"/>
      <c r="B558" s="14"/>
      <c r="C558" s="14"/>
    </row>
    <row r="559" ht="36.0" customHeight="1">
      <c r="A559" s="14"/>
      <c r="B559" s="14"/>
      <c r="C559" s="14"/>
    </row>
    <row r="560" ht="36.0" customHeight="1">
      <c r="A560" s="14"/>
      <c r="B560" s="14"/>
      <c r="C560" s="14"/>
    </row>
    <row r="561" ht="36.0" customHeight="1">
      <c r="A561" s="14"/>
      <c r="B561" s="14"/>
      <c r="C561" s="14"/>
    </row>
    <row r="562" ht="36.0" customHeight="1">
      <c r="A562" s="14"/>
      <c r="B562" s="14"/>
      <c r="C562" s="14"/>
    </row>
    <row r="563" ht="36.0" customHeight="1">
      <c r="A563" s="14"/>
      <c r="B563" s="14"/>
      <c r="C563" s="14"/>
    </row>
    <row r="564" ht="36.0" customHeight="1">
      <c r="A564" s="14"/>
      <c r="B564" s="14"/>
      <c r="C564" s="14"/>
    </row>
    <row r="565" ht="36.0" customHeight="1">
      <c r="A565" s="14"/>
      <c r="B565" s="14"/>
      <c r="C565" s="14"/>
    </row>
    <row r="566" ht="36.0" customHeight="1">
      <c r="A566" s="14"/>
      <c r="B566" s="14"/>
      <c r="C566" s="14"/>
    </row>
    <row r="567" ht="36.0" customHeight="1">
      <c r="A567" s="14"/>
      <c r="B567" s="14"/>
      <c r="C567" s="14"/>
    </row>
    <row r="568" ht="36.0" customHeight="1">
      <c r="A568" s="14"/>
      <c r="B568" s="14"/>
      <c r="C568" s="14"/>
    </row>
    <row r="569" ht="36.0" customHeight="1">
      <c r="A569" s="14"/>
      <c r="B569" s="14"/>
      <c r="C569" s="14"/>
    </row>
    <row r="570" ht="36.0" customHeight="1">
      <c r="A570" s="14"/>
      <c r="B570" s="14"/>
      <c r="C570" s="14"/>
    </row>
    <row r="571" ht="36.0" customHeight="1">
      <c r="A571" s="14"/>
      <c r="B571" s="14"/>
      <c r="C571" s="14"/>
    </row>
    <row r="572" ht="36.0" customHeight="1">
      <c r="A572" s="14"/>
      <c r="B572" s="14"/>
      <c r="C572" s="14"/>
    </row>
    <row r="573" ht="36.0" customHeight="1">
      <c r="A573" s="14"/>
      <c r="B573" s="14"/>
      <c r="C573" s="14"/>
    </row>
    <row r="574" ht="36.0" customHeight="1">
      <c r="A574" s="14"/>
      <c r="B574" s="14"/>
      <c r="C574" s="14"/>
    </row>
    <row r="575" ht="36.0" customHeight="1">
      <c r="A575" s="14"/>
      <c r="B575" s="14"/>
      <c r="C575" s="14"/>
    </row>
    <row r="576" ht="36.0" customHeight="1">
      <c r="A576" s="14"/>
      <c r="B576" s="14"/>
      <c r="C576" s="14"/>
    </row>
    <row r="577" ht="36.0" customHeight="1">
      <c r="A577" s="14"/>
      <c r="B577" s="14"/>
      <c r="C577" s="14"/>
    </row>
    <row r="578" ht="36.0" customHeight="1">
      <c r="A578" s="14"/>
      <c r="B578" s="14"/>
      <c r="C578" s="14"/>
    </row>
    <row r="579" ht="36.0" customHeight="1">
      <c r="A579" s="14"/>
      <c r="B579" s="14"/>
      <c r="C579" s="14"/>
    </row>
    <row r="580" ht="36.0" customHeight="1">
      <c r="A580" s="14"/>
      <c r="B580" s="14"/>
      <c r="C580" s="14"/>
    </row>
    <row r="581" ht="36.0" customHeight="1">
      <c r="A581" s="14"/>
      <c r="B581" s="14"/>
      <c r="C581" s="14"/>
    </row>
    <row r="582" ht="36.0" customHeight="1">
      <c r="A582" s="14"/>
      <c r="B582" s="14"/>
      <c r="C582" s="14"/>
    </row>
    <row r="583" ht="36.0" customHeight="1">
      <c r="A583" s="14"/>
      <c r="B583" s="14"/>
      <c r="C583" s="14"/>
    </row>
    <row r="584" ht="36.0" customHeight="1">
      <c r="A584" s="14"/>
      <c r="B584" s="14"/>
      <c r="C584" s="14"/>
    </row>
    <row r="585" ht="36.0" customHeight="1">
      <c r="A585" s="14"/>
      <c r="B585" s="14"/>
      <c r="C585" s="14"/>
    </row>
    <row r="586" ht="36.0" customHeight="1">
      <c r="A586" s="14"/>
      <c r="B586" s="14"/>
      <c r="C586" s="14"/>
    </row>
    <row r="587" ht="36.0" customHeight="1">
      <c r="A587" s="14"/>
      <c r="B587" s="14"/>
      <c r="C587" s="14"/>
    </row>
    <row r="588" ht="36.0" customHeight="1">
      <c r="A588" s="14"/>
      <c r="B588" s="14"/>
      <c r="C588" s="14"/>
    </row>
    <row r="589" ht="36.0" customHeight="1">
      <c r="A589" s="14"/>
      <c r="B589" s="14"/>
      <c r="C589" s="14"/>
    </row>
    <row r="590" ht="36.0" customHeight="1">
      <c r="A590" s="14"/>
      <c r="B590" s="14"/>
      <c r="C590" s="14"/>
    </row>
    <row r="591" ht="36.0" customHeight="1">
      <c r="A591" s="14"/>
      <c r="B591" s="14"/>
      <c r="C591" s="14"/>
    </row>
    <row r="592" ht="36.0" customHeight="1">
      <c r="A592" s="14"/>
      <c r="B592" s="14"/>
      <c r="C592" s="14"/>
    </row>
    <row r="593" ht="36.0" customHeight="1">
      <c r="A593" s="14"/>
      <c r="B593" s="14"/>
      <c r="C593" s="14"/>
    </row>
    <row r="594" ht="36.0" customHeight="1">
      <c r="A594" s="14"/>
      <c r="B594" s="14"/>
      <c r="C594" s="14"/>
    </row>
    <row r="595" ht="36.0" customHeight="1">
      <c r="A595" s="14"/>
      <c r="B595" s="14"/>
      <c r="C595" s="14"/>
    </row>
    <row r="596" ht="36.0" customHeight="1">
      <c r="A596" s="14"/>
      <c r="B596" s="14"/>
      <c r="C596" s="14"/>
    </row>
    <row r="597" ht="36.0" customHeight="1">
      <c r="A597" s="14"/>
      <c r="B597" s="14"/>
      <c r="C597" s="14"/>
    </row>
    <row r="598" ht="36.0" customHeight="1">
      <c r="A598" s="14"/>
      <c r="B598" s="14"/>
      <c r="C598" s="14"/>
    </row>
    <row r="599" ht="36.0" customHeight="1">
      <c r="A599" s="14"/>
      <c r="B599" s="14"/>
      <c r="C599" s="14"/>
    </row>
    <row r="600" ht="36.0" customHeight="1">
      <c r="A600" s="14"/>
      <c r="B600" s="14"/>
      <c r="C600" s="14"/>
    </row>
    <row r="601" ht="36.0" customHeight="1">
      <c r="A601" s="14"/>
      <c r="B601" s="14"/>
      <c r="C601" s="14"/>
    </row>
    <row r="602" ht="36.0" customHeight="1">
      <c r="A602" s="14"/>
      <c r="B602" s="14"/>
      <c r="C602" s="14"/>
    </row>
    <row r="603" ht="36.0" customHeight="1">
      <c r="A603" s="14"/>
      <c r="B603" s="14"/>
      <c r="C603" s="14"/>
    </row>
    <row r="604" ht="36.0" customHeight="1">
      <c r="A604" s="14"/>
      <c r="B604" s="14"/>
      <c r="C604" s="14"/>
    </row>
    <row r="605" ht="36.0" customHeight="1">
      <c r="A605" s="14"/>
      <c r="B605" s="14"/>
      <c r="C605" s="14"/>
    </row>
    <row r="606" ht="36.0" customHeight="1">
      <c r="A606" s="14"/>
      <c r="B606" s="14"/>
      <c r="C606" s="14"/>
    </row>
    <row r="607" ht="36.0" customHeight="1">
      <c r="A607" s="14"/>
      <c r="B607" s="14"/>
      <c r="C607" s="14"/>
    </row>
    <row r="608" ht="36.0" customHeight="1">
      <c r="A608" s="14"/>
      <c r="B608" s="14"/>
      <c r="C608" s="14"/>
    </row>
    <row r="609" ht="36.0" customHeight="1">
      <c r="A609" s="14"/>
      <c r="B609" s="14"/>
      <c r="C609" s="14"/>
    </row>
    <row r="610" ht="36.0" customHeight="1">
      <c r="A610" s="14"/>
      <c r="B610" s="14"/>
      <c r="C610" s="14"/>
    </row>
    <row r="611" ht="36.0" customHeight="1">
      <c r="A611" s="14"/>
      <c r="B611" s="14"/>
      <c r="C611" s="14"/>
    </row>
    <row r="612" ht="36.0" customHeight="1">
      <c r="A612" s="14"/>
      <c r="B612" s="14"/>
      <c r="C612" s="14"/>
    </row>
    <row r="613" ht="36.0" customHeight="1">
      <c r="A613" s="14"/>
      <c r="B613" s="14"/>
      <c r="C613" s="14"/>
    </row>
    <row r="614" ht="36.0" customHeight="1">
      <c r="A614" s="14"/>
      <c r="B614" s="14"/>
      <c r="C614" s="14"/>
    </row>
    <row r="615" ht="36.0" customHeight="1">
      <c r="A615" s="14"/>
      <c r="B615" s="14"/>
      <c r="C615" s="14"/>
    </row>
    <row r="616" ht="36.0" customHeight="1">
      <c r="A616" s="14"/>
      <c r="B616" s="14"/>
      <c r="C616" s="14"/>
    </row>
    <row r="617" ht="36.0" customHeight="1">
      <c r="A617" s="14"/>
      <c r="B617" s="14"/>
      <c r="C617" s="14"/>
    </row>
    <row r="618" ht="36.0" customHeight="1">
      <c r="A618" s="14"/>
      <c r="B618" s="14"/>
      <c r="C618" s="14"/>
    </row>
    <row r="619" ht="36.0" customHeight="1">
      <c r="A619" s="14"/>
      <c r="B619" s="14"/>
      <c r="C619" s="14"/>
    </row>
    <row r="620" ht="36.0" customHeight="1">
      <c r="A620" s="14"/>
      <c r="B620" s="14"/>
      <c r="C620" s="14"/>
    </row>
    <row r="621" ht="36.0" customHeight="1">
      <c r="A621" s="14"/>
      <c r="B621" s="14"/>
      <c r="C621" s="14"/>
    </row>
    <row r="622" ht="36.0" customHeight="1">
      <c r="A622" s="14"/>
      <c r="B622" s="14"/>
      <c r="C622" s="14"/>
    </row>
    <row r="623" ht="36.0" customHeight="1">
      <c r="A623" s="14"/>
      <c r="B623" s="14"/>
      <c r="C623" s="14"/>
    </row>
    <row r="624" ht="36.0" customHeight="1">
      <c r="A624" s="14"/>
      <c r="B624" s="14"/>
      <c r="C624" s="14"/>
    </row>
    <row r="625" ht="36.0" customHeight="1">
      <c r="A625" s="14"/>
      <c r="B625" s="14"/>
      <c r="C625" s="14"/>
    </row>
    <row r="626" ht="36.0" customHeight="1">
      <c r="A626" s="14"/>
      <c r="B626" s="14"/>
      <c r="C626" s="14"/>
    </row>
    <row r="627" ht="36.0" customHeight="1">
      <c r="A627" s="14"/>
      <c r="B627" s="14"/>
      <c r="C627" s="14"/>
    </row>
    <row r="628" ht="36.0" customHeight="1">
      <c r="A628" s="14"/>
      <c r="B628" s="14"/>
      <c r="C628" s="14"/>
    </row>
    <row r="629" ht="36.0" customHeight="1">
      <c r="A629" s="14"/>
      <c r="B629" s="14"/>
      <c r="C629" s="14"/>
    </row>
    <row r="630" ht="36.0" customHeight="1">
      <c r="A630" s="14"/>
      <c r="B630" s="14"/>
      <c r="C630" s="14"/>
    </row>
    <row r="631" ht="36.0" customHeight="1">
      <c r="A631" s="14"/>
      <c r="B631" s="14"/>
      <c r="C631" s="14"/>
    </row>
    <row r="632" ht="36.0" customHeight="1">
      <c r="A632" s="14"/>
      <c r="B632" s="14"/>
      <c r="C632" s="14"/>
    </row>
    <row r="633" ht="36.0" customHeight="1">
      <c r="A633" s="14"/>
      <c r="B633" s="14"/>
      <c r="C633" s="14"/>
    </row>
    <row r="634" ht="36.0" customHeight="1">
      <c r="A634" s="14"/>
      <c r="B634" s="14"/>
      <c r="C634" s="14"/>
    </row>
    <row r="635" ht="36.0" customHeight="1">
      <c r="A635" s="14"/>
      <c r="B635" s="14"/>
      <c r="C635" s="14"/>
    </row>
    <row r="636" ht="36.0" customHeight="1">
      <c r="A636" s="14"/>
      <c r="B636" s="14"/>
      <c r="C636" s="14"/>
    </row>
    <row r="637" ht="36.0" customHeight="1">
      <c r="A637" s="14"/>
      <c r="B637" s="14"/>
      <c r="C637" s="14"/>
    </row>
    <row r="638" ht="36.0" customHeight="1">
      <c r="A638" s="14"/>
      <c r="B638" s="14"/>
      <c r="C638" s="14"/>
    </row>
    <row r="639" ht="36.0" customHeight="1">
      <c r="A639" s="14"/>
      <c r="B639" s="14"/>
      <c r="C639" s="14"/>
    </row>
    <row r="640" ht="36.0" customHeight="1">
      <c r="A640" s="14"/>
      <c r="B640" s="14"/>
      <c r="C640" s="14"/>
    </row>
    <row r="641" ht="36.0" customHeight="1">
      <c r="A641" s="14"/>
      <c r="B641" s="14"/>
      <c r="C641" s="14"/>
    </row>
    <row r="642" ht="36.0" customHeight="1">
      <c r="A642" s="14"/>
      <c r="B642" s="14"/>
      <c r="C642" s="14"/>
    </row>
    <row r="643" ht="36.0" customHeight="1">
      <c r="A643" s="14"/>
      <c r="B643" s="14"/>
      <c r="C643" s="14"/>
    </row>
    <row r="644" ht="36.0" customHeight="1">
      <c r="A644" s="14"/>
      <c r="B644" s="14"/>
      <c r="C644" s="14"/>
    </row>
    <row r="645" ht="36.0" customHeight="1">
      <c r="A645" s="14"/>
      <c r="B645" s="14"/>
      <c r="C645" s="14"/>
    </row>
    <row r="646" ht="36.0" customHeight="1">
      <c r="A646" s="14"/>
      <c r="B646" s="14"/>
      <c r="C646" s="14"/>
    </row>
    <row r="647" ht="36.0" customHeight="1">
      <c r="A647" s="14"/>
      <c r="B647" s="14"/>
      <c r="C647" s="14"/>
    </row>
    <row r="648" ht="36.0" customHeight="1">
      <c r="A648" s="14"/>
      <c r="B648" s="14"/>
      <c r="C648" s="14"/>
    </row>
    <row r="649" ht="36.0" customHeight="1">
      <c r="A649" s="14"/>
      <c r="B649" s="14"/>
      <c r="C649" s="14"/>
    </row>
    <row r="650" ht="36.0" customHeight="1">
      <c r="A650" s="14"/>
      <c r="B650" s="14"/>
      <c r="C650" s="14"/>
    </row>
    <row r="651" ht="36.0" customHeight="1">
      <c r="A651" s="14"/>
      <c r="B651" s="14"/>
      <c r="C651" s="14"/>
    </row>
    <row r="652" ht="36.0" customHeight="1">
      <c r="A652" s="14"/>
      <c r="B652" s="14"/>
      <c r="C652" s="14"/>
    </row>
    <row r="653" ht="36.0" customHeight="1">
      <c r="A653" s="14"/>
      <c r="B653" s="14"/>
      <c r="C653" s="14"/>
    </row>
    <row r="654" ht="36.0" customHeight="1">
      <c r="A654" s="14"/>
      <c r="B654" s="14"/>
      <c r="C654" s="14"/>
    </row>
    <row r="655" ht="36.0" customHeight="1">
      <c r="A655" s="14"/>
      <c r="B655" s="14"/>
      <c r="C655" s="14"/>
    </row>
    <row r="656" ht="36.0" customHeight="1">
      <c r="A656" s="14"/>
      <c r="B656" s="14"/>
      <c r="C656" s="14"/>
    </row>
    <row r="657" ht="36.0" customHeight="1">
      <c r="A657" s="14"/>
      <c r="B657" s="14"/>
      <c r="C657" s="14"/>
    </row>
    <row r="658" ht="36.0" customHeight="1">
      <c r="A658" s="14"/>
      <c r="B658" s="14"/>
      <c r="C658" s="14"/>
    </row>
    <row r="659" ht="36.0" customHeight="1">
      <c r="A659" s="14"/>
      <c r="B659" s="14"/>
      <c r="C659" s="14"/>
    </row>
    <row r="660" ht="36.0" customHeight="1">
      <c r="A660" s="14"/>
      <c r="B660" s="14"/>
      <c r="C660" s="14"/>
    </row>
    <row r="661" ht="36.0" customHeight="1">
      <c r="A661" s="14"/>
      <c r="B661" s="14"/>
      <c r="C661" s="14"/>
    </row>
    <row r="662" ht="36.0" customHeight="1">
      <c r="A662" s="14"/>
      <c r="B662" s="14"/>
      <c r="C662" s="14"/>
    </row>
    <row r="663" ht="36.0" customHeight="1">
      <c r="A663" s="14"/>
      <c r="B663" s="14"/>
      <c r="C663" s="14"/>
    </row>
    <row r="664" ht="36.0" customHeight="1">
      <c r="A664" s="14"/>
      <c r="B664" s="14"/>
      <c r="C664" s="14"/>
    </row>
    <row r="665" ht="36.0" customHeight="1">
      <c r="A665" s="14"/>
      <c r="B665" s="14"/>
      <c r="C665" s="14"/>
    </row>
    <row r="666" ht="36.0" customHeight="1">
      <c r="A666" s="14"/>
      <c r="B666" s="14"/>
      <c r="C666" s="14"/>
    </row>
    <row r="667" ht="36.0" customHeight="1">
      <c r="A667" s="14"/>
      <c r="B667" s="14"/>
      <c r="C667" s="14"/>
    </row>
    <row r="668" ht="36.0" customHeight="1">
      <c r="A668" s="14"/>
      <c r="B668" s="14"/>
      <c r="C668" s="14"/>
    </row>
    <row r="669" ht="36.0" customHeight="1">
      <c r="A669" s="14"/>
      <c r="B669" s="14"/>
      <c r="C669" s="14"/>
    </row>
    <row r="670" ht="36.0" customHeight="1">
      <c r="A670" s="14"/>
      <c r="B670" s="14"/>
      <c r="C670" s="14"/>
    </row>
    <row r="671" ht="36.0" customHeight="1">
      <c r="A671" s="14"/>
      <c r="B671" s="14"/>
      <c r="C671" s="14"/>
    </row>
    <row r="672" ht="36.0" customHeight="1">
      <c r="A672" s="14"/>
      <c r="B672" s="14"/>
      <c r="C672" s="14"/>
    </row>
    <row r="673" ht="36.0" customHeight="1">
      <c r="A673" s="14"/>
      <c r="B673" s="14"/>
      <c r="C673" s="14"/>
    </row>
    <row r="674" ht="36.0" customHeight="1">
      <c r="A674" s="14"/>
      <c r="B674" s="14"/>
      <c r="C674" s="14"/>
    </row>
    <row r="675" ht="36.0" customHeight="1">
      <c r="A675" s="14"/>
      <c r="B675" s="14"/>
      <c r="C675" s="14"/>
    </row>
    <row r="676" ht="36.0" customHeight="1">
      <c r="A676" s="14"/>
      <c r="B676" s="14"/>
      <c r="C676" s="14"/>
    </row>
    <row r="677" ht="36.0" customHeight="1">
      <c r="A677" s="14"/>
      <c r="B677" s="14"/>
      <c r="C677" s="14"/>
    </row>
    <row r="678" ht="36.0" customHeight="1">
      <c r="A678" s="14"/>
      <c r="B678" s="14"/>
      <c r="C678" s="14"/>
    </row>
    <row r="679" ht="36.0" customHeight="1">
      <c r="A679" s="14"/>
      <c r="B679" s="14"/>
      <c r="C679" s="14"/>
    </row>
    <row r="680" ht="36.0" customHeight="1">
      <c r="A680" s="14"/>
      <c r="B680" s="14"/>
      <c r="C680" s="14"/>
    </row>
    <row r="681" ht="36.0" customHeight="1">
      <c r="A681" s="14"/>
      <c r="B681" s="14"/>
      <c r="C681" s="14"/>
    </row>
    <row r="682" ht="36.0" customHeight="1">
      <c r="A682" s="14"/>
      <c r="B682" s="14"/>
      <c r="C682" s="14"/>
    </row>
    <row r="683" ht="36.0" customHeight="1">
      <c r="A683" s="14"/>
      <c r="B683" s="14"/>
      <c r="C683" s="14"/>
    </row>
    <row r="684" ht="36.0" customHeight="1">
      <c r="A684" s="14"/>
      <c r="B684" s="14"/>
      <c r="C684" s="14"/>
    </row>
    <row r="685" ht="36.0" customHeight="1">
      <c r="A685" s="14"/>
      <c r="B685" s="14"/>
      <c r="C685" s="14"/>
    </row>
    <row r="686" ht="36.0" customHeight="1">
      <c r="A686" s="14"/>
      <c r="B686" s="14"/>
      <c r="C686" s="14"/>
    </row>
    <row r="687" ht="36.0" customHeight="1">
      <c r="A687" s="14"/>
      <c r="B687" s="14"/>
      <c r="C687" s="14"/>
    </row>
    <row r="688" ht="36.0" customHeight="1">
      <c r="A688" s="14"/>
      <c r="B688" s="14"/>
      <c r="C688" s="14"/>
    </row>
    <row r="689" ht="36.0" customHeight="1">
      <c r="A689" s="14"/>
      <c r="B689" s="14"/>
      <c r="C689" s="14"/>
    </row>
    <row r="690" ht="36.0" customHeight="1">
      <c r="A690" s="14"/>
      <c r="B690" s="14"/>
      <c r="C690" s="14"/>
    </row>
    <row r="691" ht="36.0" customHeight="1">
      <c r="A691" s="14"/>
      <c r="B691" s="14"/>
      <c r="C691" s="14"/>
    </row>
    <row r="692" ht="36.0" customHeight="1">
      <c r="A692" s="14"/>
      <c r="B692" s="14"/>
      <c r="C692" s="14"/>
    </row>
    <row r="693" ht="36.0" customHeight="1">
      <c r="A693" s="14"/>
      <c r="B693" s="14"/>
      <c r="C693" s="14"/>
    </row>
    <row r="694" ht="36.0" customHeight="1">
      <c r="A694" s="14"/>
      <c r="B694" s="14"/>
      <c r="C694" s="14"/>
    </row>
    <row r="695" ht="36.0" customHeight="1">
      <c r="A695" s="14"/>
      <c r="B695" s="14"/>
      <c r="C695" s="14"/>
    </row>
    <row r="696" ht="36.0" customHeight="1">
      <c r="A696" s="14"/>
      <c r="B696" s="14"/>
      <c r="C696" s="14"/>
    </row>
    <row r="697" ht="36.0" customHeight="1">
      <c r="A697" s="14"/>
      <c r="B697" s="14"/>
      <c r="C697" s="14"/>
    </row>
    <row r="698" ht="36.0" customHeight="1">
      <c r="A698" s="14"/>
      <c r="B698" s="14"/>
      <c r="C698" s="14"/>
    </row>
    <row r="699" ht="36.0" customHeight="1">
      <c r="A699" s="14"/>
      <c r="B699" s="14"/>
      <c r="C699" s="14"/>
    </row>
    <row r="700" ht="36.0" customHeight="1">
      <c r="A700" s="14"/>
      <c r="B700" s="14"/>
      <c r="C700" s="14"/>
    </row>
    <row r="701" ht="36.0" customHeight="1">
      <c r="A701" s="14"/>
      <c r="B701" s="14"/>
      <c r="C701" s="14"/>
    </row>
    <row r="702" ht="36.0" customHeight="1">
      <c r="A702" s="14"/>
      <c r="B702" s="14"/>
      <c r="C702" s="14"/>
    </row>
    <row r="703" ht="36.0" customHeight="1">
      <c r="A703" s="14"/>
      <c r="B703" s="14"/>
      <c r="C703" s="14"/>
    </row>
    <row r="704" ht="36.0" customHeight="1">
      <c r="A704" s="14"/>
      <c r="B704" s="14"/>
      <c r="C704" s="14"/>
    </row>
    <row r="705" ht="36.0" customHeight="1">
      <c r="A705" s="14"/>
      <c r="B705" s="14"/>
      <c r="C705" s="14"/>
    </row>
    <row r="706" ht="36.0" customHeight="1">
      <c r="A706" s="14"/>
      <c r="B706" s="14"/>
      <c r="C706" s="14"/>
    </row>
    <row r="707" ht="36.0" customHeight="1">
      <c r="A707" s="14"/>
      <c r="B707" s="14"/>
      <c r="C707" s="14"/>
    </row>
    <row r="708" ht="36.0" customHeight="1">
      <c r="A708" s="14"/>
      <c r="B708" s="14"/>
      <c r="C708" s="14"/>
    </row>
    <row r="709" ht="36.0" customHeight="1">
      <c r="A709" s="14"/>
      <c r="B709" s="14"/>
      <c r="C709" s="14"/>
    </row>
    <row r="710" ht="36.0" customHeight="1">
      <c r="A710" s="14"/>
      <c r="B710" s="14"/>
      <c r="C710" s="14"/>
    </row>
    <row r="711" ht="36.0" customHeight="1">
      <c r="A711" s="14"/>
      <c r="B711" s="14"/>
      <c r="C711" s="14"/>
    </row>
    <row r="712" ht="36.0" customHeight="1">
      <c r="A712" s="14"/>
      <c r="B712" s="14"/>
      <c r="C712" s="14"/>
    </row>
    <row r="713" ht="36.0" customHeight="1">
      <c r="A713" s="14"/>
      <c r="B713" s="14"/>
      <c r="C713" s="14"/>
    </row>
    <row r="714" ht="36.0" customHeight="1">
      <c r="A714" s="14"/>
      <c r="B714" s="14"/>
      <c r="C714" s="14"/>
    </row>
    <row r="715" ht="36.0" customHeight="1">
      <c r="A715" s="14"/>
      <c r="B715" s="14"/>
      <c r="C715" s="14"/>
    </row>
    <row r="716" ht="36.0" customHeight="1">
      <c r="A716" s="14"/>
      <c r="B716" s="14"/>
      <c r="C716" s="14"/>
    </row>
    <row r="717" ht="36.0" customHeight="1">
      <c r="A717" s="14"/>
      <c r="B717" s="14"/>
      <c r="C717" s="14"/>
    </row>
    <row r="718" ht="36.0" customHeight="1">
      <c r="A718" s="14"/>
      <c r="B718" s="14"/>
      <c r="C718" s="14"/>
    </row>
    <row r="719" ht="36.0" customHeight="1">
      <c r="A719" s="14"/>
      <c r="B719" s="14"/>
      <c r="C719" s="14"/>
    </row>
    <row r="720" ht="36.0" customHeight="1">
      <c r="A720" s="14"/>
      <c r="B720" s="14"/>
      <c r="C720" s="14"/>
    </row>
    <row r="721" ht="36.0" customHeight="1">
      <c r="A721" s="14"/>
      <c r="B721" s="14"/>
      <c r="C721" s="14"/>
    </row>
    <row r="722" ht="36.0" customHeight="1">
      <c r="A722" s="14"/>
      <c r="B722" s="14"/>
      <c r="C722" s="14"/>
    </row>
    <row r="723" ht="36.0" customHeight="1">
      <c r="A723" s="14"/>
      <c r="B723" s="14"/>
      <c r="C723" s="14"/>
    </row>
    <row r="724" ht="36.0" customHeight="1">
      <c r="A724" s="14"/>
      <c r="B724" s="14"/>
      <c r="C724" s="14"/>
    </row>
    <row r="725" ht="36.0" customHeight="1">
      <c r="A725" s="14"/>
      <c r="B725" s="14"/>
      <c r="C725" s="14"/>
    </row>
    <row r="726" ht="36.0" customHeight="1">
      <c r="A726" s="14"/>
      <c r="B726" s="14"/>
      <c r="C726" s="14"/>
    </row>
    <row r="727" ht="36.0" customHeight="1">
      <c r="A727" s="14"/>
      <c r="B727" s="14"/>
      <c r="C727" s="14"/>
    </row>
    <row r="728" ht="36.0" customHeight="1">
      <c r="A728" s="14"/>
      <c r="B728" s="14"/>
      <c r="C728" s="14"/>
    </row>
    <row r="729" ht="36.0" customHeight="1">
      <c r="A729" s="14"/>
      <c r="B729" s="14"/>
      <c r="C729" s="14"/>
    </row>
    <row r="730" ht="36.0" customHeight="1">
      <c r="A730" s="14"/>
      <c r="B730" s="14"/>
      <c r="C730" s="14"/>
    </row>
    <row r="731" ht="36.0" customHeight="1">
      <c r="A731" s="14"/>
      <c r="B731" s="14"/>
      <c r="C731" s="14"/>
    </row>
    <row r="732" ht="36.0" customHeight="1">
      <c r="A732" s="14"/>
      <c r="B732" s="14"/>
      <c r="C732" s="14"/>
    </row>
    <row r="733" ht="36.0" customHeight="1">
      <c r="A733" s="14"/>
      <c r="B733" s="14"/>
      <c r="C733" s="14"/>
    </row>
    <row r="734" ht="36.0" customHeight="1">
      <c r="A734" s="14"/>
      <c r="B734" s="14"/>
      <c r="C734" s="14"/>
    </row>
    <row r="735" ht="36.0" customHeight="1">
      <c r="A735" s="14"/>
      <c r="B735" s="14"/>
      <c r="C735" s="14"/>
    </row>
    <row r="736" ht="36.0" customHeight="1">
      <c r="A736" s="14"/>
      <c r="B736" s="14"/>
      <c r="C736" s="14"/>
    </row>
    <row r="737" ht="36.0" customHeight="1">
      <c r="A737" s="14"/>
      <c r="B737" s="14"/>
      <c r="C737" s="14"/>
    </row>
    <row r="738" ht="36.0" customHeight="1">
      <c r="A738" s="14"/>
      <c r="B738" s="14"/>
      <c r="C738" s="14"/>
    </row>
    <row r="739" ht="36.0" customHeight="1">
      <c r="A739" s="14"/>
      <c r="B739" s="14"/>
      <c r="C739" s="14"/>
    </row>
    <row r="740" ht="36.0" customHeight="1">
      <c r="A740" s="14"/>
      <c r="B740" s="14"/>
      <c r="C740" s="14"/>
    </row>
    <row r="741" ht="36.0" customHeight="1">
      <c r="A741" s="14"/>
      <c r="B741" s="14"/>
      <c r="C741" s="14"/>
    </row>
    <row r="742" ht="36.0" customHeight="1">
      <c r="A742" s="14"/>
      <c r="B742" s="14"/>
      <c r="C742" s="14"/>
    </row>
    <row r="743" ht="36.0" customHeight="1">
      <c r="A743" s="14"/>
      <c r="B743" s="14"/>
      <c r="C743" s="14"/>
    </row>
    <row r="744" ht="36.0" customHeight="1">
      <c r="A744" s="14"/>
      <c r="B744" s="14"/>
      <c r="C744" s="14"/>
    </row>
    <row r="745" ht="36.0" customHeight="1">
      <c r="A745" s="14"/>
      <c r="B745" s="14"/>
      <c r="C745" s="14"/>
    </row>
    <row r="746" ht="36.0" customHeight="1">
      <c r="A746" s="14"/>
      <c r="B746" s="14"/>
      <c r="C746" s="14"/>
    </row>
    <row r="747" ht="36.0" customHeight="1">
      <c r="A747" s="14"/>
      <c r="B747" s="14"/>
      <c r="C747" s="14"/>
    </row>
    <row r="748" ht="36.0" customHeight="1">
      <c r="A748" s="14"/>
      <c r="B748" s="14"/>
      <c r="C748" s="14"/>
    </row>
    <row r="749" ht="36.0" customHeight="1">
      <c r="A749" s="14"/>
      <c r="B749" s="14"/>
      <c r="C749" s="14"/>
    </row>
    <row r="750" ht="36.0" customHeight="1">
      <c r="A750" s="14"/>
      <c r="B750" s="14"/>
      <c r="C750" s="14"/>
    </row>
    <row r="751" ht="36.0" customHeight="1">
      <c r="A751" s="14"/>
      <c r="B751" s="14"/>
      <c r="C751" s="14"/>
    </row>
    <row r="752" ht="36.0" customHeight="1">
      <c r="A752" s="14"/>
      <c r="B752" s="14"/>
      <c r="C752" s="14"/>
    </row>
    <row r="753" ht="36.0" customHeight="1">
      <c r="A753" s="14"/>
      <c r="B753" s="14"/>
      <c r="C753" s="14"/>
    </row>
    <row r="754" ht="36.0" customHeight="1">
      <c r="A754" s="14"/>
      <c r="B754" s="14"/>
      <c r="C754" s="14"/>
    </row>
    <row r="755" ht="36.0" customHeight="1">
      <c r="A755" s="14"/>
      <c r="B755" s="14"/>
      <c r="C755" s="14"/>
    </row>
    <row r="756" ht="36.0" customHeight="1">
      <c r="A756" s="14"/>
      <c r="B756" s="14"/>
      <c r="C756" s="14"/>
    </row>
    <row r="757" ht="36.0" customHeight="1">
      <c r="A757" s="14"/>
      <c r="B757" s="14"/>
      <c r="C757" s="14"/>
    </row>
    <row r="758" ht="36.0" customHeight="1">
      <c r="A758" s="14"/>
      <c r="B758" s="14"/>
      <c r="C758" s="14"/>
    </row>
    <row r="759" ht="36.0" customHeight="1">
      <c r="A759" s="14"/>
      <c r="B759" s="14"/>
      <c r="C759" s="14"/>
    </row>
    <row r="760" ht="36.0" customHeight="1">
      <c r="A760" s="14"/>
      <c r="B760" s="14"/>
      <c r="C760" s="14"/>
    </row>
    <row r="761" ht="36.0" customHeight="1">
      <c r="A761" s="14"/>
      <c r="B761" s="14"/>
      <c r="C761" s="14"/>
    </row>
    <row r="762" ht="36.0" customHeight="1">
      <c r="A762" s="14"/>
      <c r="B762" s="14"/>
      <c r="C762" s="14"/>
    </row>
    <row r="763" ht="36.0" customHeight="1">
      <c r="A763" s="14"/>
      <c r="B763" s="14"/>
      <c r="C763" s="14"/>
    </row>
    <row r="764" ht="36.0" customHeight="1">
      <c r="A764" s="14"/>
      <c r="B764" s="14"/>
      <c r="C764" s="14"/>
    </row>
    <row r="765" ht="36.0" customHeight="1">
      <c r="A765" s="14"/>
      <c r="B765" s="14"/>
      <c r="C765" s="14"/>
    </row>
    <row r="766" ht="36.0" customHeight="1">
      <c r="A766" s="14"/>
      <c r="B766" s="14"/>
      <c r="C766" s="14"/>
    </row>
    <row r="767" ht="36.0" customHeight="1">
      <c r="A767" s="14"/>
      <c r="B767" s="14"/>
      <c r="C767" s="14"/>
    </row>
    <row r="768" ht="36.0" customHeight="1">
      <c r="A768" s="14"/>
      <c r="B768" s="14"/>
      <c r="C768" s="14"/>
    </row>
    <row r="769" ht="36.0" customHeight="1">
      <c r="A769" s="14"/>
      <c r="B769" s="14"/>
      <c r="C769" s="14"/>
    </row>
    <row r="770" ht="36.0" customHeight="1">
      <c r="A770" s="14"/>
      <c r="B770" s="14"/>
      <c r="C770" s="14"/>
    </row>
    <row r="771" ht="36.0" customHeight="1">
      <c r="A771" s="14"/>
      <c r="B771" s="14"/>
      <c r="C771" s="14"/>
    </row>
    <row r="772" ht="36.0" customHeight="1">
      <c r="A772" s="14"/>
      <c r="B772" s="14"/>
      <c r="C772" s="14"/>
    </row>
    <row r="773" ht="36.0" customHeight="1">
      <c r="A773" s="14"/>
      <c r="B773" s="14"/>
      <c r="C773" s="14"/>
    </row>
    <row r="774" ht="36.0" customHeight="1">
      <c r="A774" s="14"/>
      <c r="B774" s="14"/>
      <c r="C774" s="14"/>
    </row>
    <row r="775" ht="36.0" customHeight="1">
      <c r="A775" s="14"/>
      <c r="B775" s="14"/>
      <c r="C775" s="14"/>
    </row>
    <row r="776" ht="36.0" customHeight="1">
      <c r="A776" s="14"/>
      <c r="B776" s="14"/>
      <c r="C776" s="14"/>
    </row>
    <row r="777" ht="36.0" customHeight="1">
      <c r="A777" s="14"/>
      <c r="B777" s="14"/>
      <c r="C777" s="14"/>
    </row>
    <row r="778" ht="36.0" customHeight="1">
      <c r="A778" s="14"/>
      <c r="B778" s="14"/>
      <c r="C778" s="14"/>
    </row>
    <row r="779" ht="36.0" customHeight="1">
      <c r="A779" s="14"/>
      <c r="B779" s="14"/>
      <c r="C779" s="14"/>
    </row>
    <row r="780" ht="36.0" customHeight="1">
      <c r="A780" s="14"/>
      <c r="B780" s="14"/>
      <c r="C780" s="14"/>
    </row>
    <row r="781" ht="36.0" customHeight="1">
      <c r="A781" s="14"/>
      <c r="B781" s="14"/>
      <c r="C781" s="14"/>
    </row>
    <row r="782" ht="36.0" customHeight="1">
      <c r="A782" s="14"/>
      <c r="B782" s="14"/>
      <c r="C782" s="14"/>
    </row>
    <row r="783" ht="36.0" customHeight="1">
      <c r="A783" s="14"/>
      <c r="B783" s="14"/>
      <c r="C783" s="14"/>
    </row>
    <row r="784" ht="36.0" customHeight="1">
      <c r="A784" s="14"/>
      <c r="B784" s="14"/>
      <c r="C784" s="14"/>
    </row>
    <row r="785" ht="36.0" customHeight="1">
      <c r="A785" s="14"/>
      <c r="B785" s="14"/>
      <c r="C785" s="14"/>
    </row>
    <row r="786" ht="36.0" customHeight="1">
      <c r="A786" s="14"/>
      <c r="B786" s="14"/>
      <c r="C786" s="14"/>
    </row>
    <row r="787" ht="36.0" customHeight="1">
      <c r="A787" s="14"/>
      <c r="B787" s="14"/>
      <c r="C787" s="14"/>
    </row>
    <row r="788" ht="36.0" customHeight="1">
      <c r="A788" s="14"/>
      <c r="B788" s="14"/>
      <c r="C788" s="14"/>
    </row>
    <row r="789" ht="36.0" customHeight="1">
      <c r="A789" s="14"/>
      <c r="B789" s="14"/>
      <c r="C789" s="14"/>
    </row>
    <row r="790" ht="36.0" customHeight="1">
      <c r="A790" s="14"/>
      <c r="B790" s="14"/>
      <c r="C790" s="14"/>
    </row>
    <row r="791" ht="36.0" customHeight="1">
      <c r="A791" s="14"/>
      <c r="B791" s="14"/>
      <c r="C791" s="14"/>
    </row>
    <row r="792" ht="36.0" customHeight="1">
      <c r="A792" s="14"/>
      <c r="B792" s="14"/>
      <c r="C792" s="14"/>
    </row>
    <row r="793" ht="36.0" customHeight="1">
      <c r="A793" s="14"/>
      <c r="B793" s="14"/>
      <c r="C793" s="14"/>
    </row>
    <row r="794" ht="36.0" customHeight="1">
      <c r="A794" s="14"/>
      <c r="B794" s="14"/>
      <c r="C794" s="14"/>
    </row>
    <row r="795" ht="36.0" customHeight="1">
      <c r="A795" s="14"/>
      <c r="B795" s="14"/>
      <c r="C795" s="14"/>
    </row>
    <row r="796" ht="36.0" customHeight="1">
      <c r="A796" s="14"/>
      <c r="B796" s="14"/>
      <c r="C796" s="14"/>
    </row>
    <row r="797" ht="36.0" customHeight="1">
      <c r="A797" s="14"/>
      <c r="B797" s="14"/>
      <c r="C797" s="14"/>
    </row>
    <row r="798" ht="36.0" customHeight="1">
      <c r="A798" s="14"/>
      <c r="B798" s="14"/>
      <c r="C798" s="14"/>
    </row>
    <row r="799" ht="36.0" customHeight="1">
      <c r="A799" s="14"/>
      <c r="B799" s="14"/>
      <c r="C799" s="14"/>
    </row>
    <row r="800" ht="36.0" customHeight="1">
      <c r="A800" s="14"/>
      <c r="B800" s="14"/>
      <c r="C800" s="14"/>
    </row>
    <row r="801" ht="36.0" customHeight="1">
      <c r="A801" s="14"/>
      <c r="B801" s="14"/>
      <c r="C801" s="14"/>
    </row>
    <row r="802" ht="36.0" customHeight="1">
      <c r="A802" s="14"/>
      <c r="B802" s="14"/>
      <c r="C802" s="14"/>
    </row>
    <row r="803" ht="36.0" customHeight="1">
      <c r="A803" s="14"/>
      <c r="B803" s="14"/>
      <c r="C803" s="14"/>
    </row>
    <row r="804" ht="36.0" customHeight="1">
      <c r="A804" s="14"/>
      <c r="B804" s="14"/>
      <c r="C804" s="14"/>
    </row>
    <row r="805" ht="36.0" customHeight="1">
      <c r="A805" s="14"/>
      <c r="B805" s="14"/>
      <c r="C805" s="14"/>
    </row>
    <row r="806" ht="36.0" customHeight="1">
      <c r="A806" s="14"/>
      <c r="B806" s="14"/>
      <c r="C806" s="14"/>
    </row>
    <row r="807" ht="36.0" customHeight="1">
      <c r="A807" s="14"/>
      <c r="B807" s="14"/>
      <c r="C807" s="14"/>
    </row>
    <row r="808" ht="36.0" customHeight="1">
      <c r="A808" s="14"/>
      <c r="B808" s="14"/>
      <c r="C808" s="14"/>
    </row>
    <row r="809" ht="36.0" customHeight="1">
      <c r="A809" s="14"/>
      <c r="B809" s="14"/>
      <c r="C809" s="14"/>
    </row>
    <row r="810" ht="36.0" customHeight="1">
      <c r="A810" s="14"/>
      <c r="B810" s="14"/>
      <c r="C810" s="14"/>
    </row>
    <row r="811" ht="36.0" customHeight="1">
      <c r="A811" s="14"/>
      <c r="B811" s="14"/>
      <c r="C811" s="14"/>
    </row>
    <row r="812" ht="36.0" customHeight="1">
      <c r="A812" s="14"/>
      <c r="B812" s="14"/>
      <c r="C812" s="14"/>
    </row>
    <row r="813" ht="36.0" customHeight="1">
      <c r="A813" s="14"/>
      <c r="B813" s="14"/>
      <c r="C813" s="14"/>
    </row>
    <row r="814" ht="36.0" customHeight="1">
      <c r="A814" s="14"/>
      <c r="B814" s="14"/>
      <c r="C814" s="14"/>
    </row>
    <row r="815" ht="36.0" customHeight="1">
      <c r="A815" s="14"/>
      <c r="B815" s="14"/>
      <c r="C815" s="14"/>
    </row>
    <row r="816" ht="36.0" customHeight="1">
      <c r="A816" s="14"/>
      <c r="B816" s="14"/>
      <c r="C816" s="14"/>
    </row>
    <row r="817" ht="36.0" customHeight="1">
      <c r="A817" s="14"/>
      <c r="B817" s="14"/>
      <c r="C817" s="14"/>
    </row>
    <row r="818" ht="36.0" customHeight="1">
      <c r="A818" s="14"/>
      <c r="B818" s="14"/>
      <c r="C818" s="14"/>
    </row>
    <row r="819" ht="36.0" customHeight="1">
      <c r="A819" s="14"/>
      <c r="B819" s="14"/>
      <c r="C819" s="14"/>
    </row>
    <row r="820" ht="36.0" customHeight="1">
      <c r="A820" s="14"/>
      <c r="B820" s="14"/>
      <c r="C820" s="14"/>
    </row>
    <row r="821" ht="36.0" customHeight="1">
      <c r="A821" s="14"/>
      <c r="B821" s="14"/>
      <c r="C821" s="14"/>
    </row>
    <row r="822" ht="36.0" customHeight="1">
      <c r="A822" s="14"/>
      <c r="B822" s="14"/>
      <c r="C822" s="14"/>
    </row>
    <row r="823" ht="36.0" customHeight="1">
      <c r="A823" s="14"/>
      <c r="B823" s="14"/>
      <c r="C823" s="14"/>
    </row>
    <row r="824" ht="36.0" customHeight="1">
      <c r="A824" s="14"/>
      <c r="B824" s="14"/>
      <c r="C824" s="14"/>
    </row>
    <row r="825" ht="36.0" customHeight="1">
      <c r="A825" s="14"/>
      <c r="B825" s="14"/>
      <c r="C825" s="14"/>
    </row>
    <row r="826" ht="36.0" customHeight="1">
      <c r="A826" s="14"/>
      <c r="B826" s="14"/>
      <c r="C826" s="14"/>
    </row>
    <row r="827" ht="36.0" customHeight="1">
      <c r="A827" s="14"/>
      <c r="B827" s="14"/>
      <c r="C827" s="14"/>
    </row>
    <row r="828" ht="36.0" customHeight="1">
      <c r="A828" s="14"/>
      <c r="B828" s="14"/>
      <c r="C828" s="14"/>
    </row>
    <row r="829" ht="36.0" customHeight="1">
      <c r="A829" s="14"/>
      <c r="B829" s="14"/>
      <c r="C829" s="14"/>
    </row>
    <row r="830" ht="36.0" customHeight="1">
      <c r="A830" s="14"/>
      <c r="B830" s="14"/>
      <c r="C830" s="14"/>
    </row>
    <row r="831" ht="36.0" customHeight="1">
      <c r="A831" s="14"/>
      <c r="B831" s="14"/>
      <c r="C831" s="14"/>
    </row>
    <row r="832" ht="36.0" customHeight="1">
      <c r="A832" s="14"/>
      <c r="B832" s="14"/>
      <c r="C832" s="14"/>
    </row>
    <row r="833" ht="36.0" customHeight="1">
      <c r="A833" s="14"/>
      <c r="B833" s="14"/>
      <c r="C833" s="14"/>
    </row>
    <row r="834" ht="36.0" customHeight="1">
      <c r="A834" s="14"/>
      <c r="B834" s="14"/>
      <c r="C834" s="14"/>
    </row>
    <row r="835" ht="36.0" customHeight="1">
      <c r="A835" s="14"/>
      <c r="B835" s="14"/>
      <c r="C835" s="14"/>
    </row>
    <row r="836" ht="36.0" customHeight="1">
      <c r="A836" s="14"/>
      <c r="B836" s="14"/>
      <c r="C836" s="14"/>
    </row>
    <row r="837" ht="36.0" customHeight="1">
      <c r="A837" s="14"/>
      <c r="B837" s="14"/>
      <c r="C837" s="14"/>
    </row>
    <row r="838" ht="36.0" customHeight="1">
      <c r="A838" s="14"/>
      <c r="B838" s="14"/>
      <c r="C838" s="14"/>
    </row>
    <row r="839" ht="36.0" customHeight="1">
      <c r="A839" s="14"/>
      <c r="B839" s="14"/>
      <c r="C839" s="14"/>
    </row>
    <row r="840" ht="36.0" customHeight="1">
      <c r="A840" s="14"/>
      <c r="B840" s="14"/>
      <c r="C840" s="14"/>
    </row>
    <row r="841" ht="36.0" customHeight="1">
      <c r="A841" s="14"/>
      <c r="B841" s="14"/>
      <c r="C841" s="14"/>
    </row>
    <row r="842" ht="36.0" customHeight="1">
      <c r="A842" s="14"/>
      <c r="B842" s="14"/>
      <c r="C842" s="14"/>
    </row>
    <row r="843" ht="36.0" customHeight="1">
      <c r="A843" s="14"/>
      <c r="B843" s="14"/>
      <c r="C843" s="14"/>
    </row>
    <row r="844" ht="36.0" customHeight="1">
      <c r="A844" s="14"/>
      <c r="B844" s="14"/>
      <c r="C844" s="14"/>
    </row>
    <row r="845" ht="36.0" customHeight="1">
      <c r="A845" s="14"/>
      <c r="B845" s="14"/>
      <c r="C845" s="14"/>
    </row>
    <row r="846" ht="36.0" customHeight="1">
      <c r="A846" s="14"/>
      <c r="B846" s="14"/>
      <c r="C846" s="14"/>
    </row>
    <row r="847" ht="36.0" customHeight="1">
      <c r="A847" s="14"/>
      <c r="B847" s="14"/>
      <c r="C847" s="14"/>
    </row>
    <row r="848" ht="36.0" customHeight="1">
      <c r="A848" s="14"/>
      <c r="B848" s="14"/>
      <c r="C848" s="14"/>
    </row>
    <row r="849" ht="36.0" customHeight="1">
      <c r="A849" s="14"/>
      <c r="B849" s="14"/>
      <c r="C849" s="14"/>
    </row>
    <row r="850" ht="36.0" customHeight="1">
      <c r="A850" s="14"/>
      <c r="B850" s="14"/>
      <c r="C850" s="14"/>
    </row>
    <row r="851" ht="36.0" customHeight="1">
      <c r="A851" s="14"/>
      <c r="B851" s="14"/>
      <c r="C851" s="14"/>
    </row>
    <row r="852" ht="36.0" customHeight="1">
      <c r="A852" s="14"/>
      <c r="B852" s="14"/>
      <c r="C852" s="14"/>
    </row>
    <row r="853" ht="36.0" customHeight="1">
      <c r="A853" s="14"/>
      <c r="B853" s="14"/>
      <c r="C853" s="14"/>
    </row>
    <row r="854" ht="36.0" customHeight="1">
      <c r="A854" s="14"/>
      <c r="B854" s="14"/>
      <c r="C854" s="14"/>
    </row>
    <row r="855" ht="36.0" customHeight="1">
      <c r="A855" s="14"/>
      <c r="B855" s="14"/>
      <c r="C855" s="14"/>
    </row>
    <row r="856" ht="36.0" customHeight="1">
      <c r="A856" s="14"/>
      <c r="B856" s="14"/>
      <c r="C856" s="14"/>
    </row>
    <row r="857" ht="36.0" customHeight="1">
      <c r="A857" s="14"/>
      <c r="B857" s="14"/>
      <c r="C857" s="14"/>
    </row>
    <row r="858" ht="36.0" customHeight="1">
      <c r="A858" s="14"/>
      <c r="B858" s="14"/>
      <c r="C858" s="14"/>
    </row>
    <row r="859" ht="36.0" customHeight="1">
      <c r="A859" s="14"/>
      <c r="B859" s="14"/>
      <c r="C859" s="14"/>
    </row>
    <row r="860" ht="36.0" customHeight="1">
      <c r="A860" s="14"/>
      <c r="B860" s="14"/>
      <c r="C860" s="14"/>
    </row>
    <row r="861" ht="36.0" customHeight="1">
      <c r="A861" s="14"/>
      <c r="B861" s="14"/>
      <c r="C861" s="14"/>
    </row>
    <row r="862" ht="36.0" customHeight="1">
      <c r="A862" s="14"/>
      <c r="B862" s="14"/>
      <c r="C862" s="14"/>
    </row>
    <row r="863" ht="36.0" customHeight="1">
      <c r="A863" s="14"/>
      <c r="B863" s="14"/>
      <c r="C863" s="14"/>
    </row>
    <row r="864" ht="36.0" customHeight="1">
      <c r="A864" s="14"/>
      <c r="B864" s="14"/>
      <c r="C864" s="14"/>
    </row>
    <row r="865" ht="36.0" customHeight="1">
      <c r="A865" s="14"/>
      <c r="B865" s="14"/>
      <c r="C865" s="14"/>
    </row>
    <row r="866" ht="36.0" customHeight="1">
      <c r="A866" s="14"/>
      <c r="B866" s="14"/>
      <c r="C866" s="14"/>
    </row>
    <row r="867" ht="36.0" customHeight="1">
      <c r="A867" s="14"/>
      <c r="B867" s="14"/>
      <c r="C867" s="14"/>
    </row>
    <row r="868" ht="36.0" customHeight="1">
      <c r="A868" s="14"/>
      <c r="B868" s="14"/>
      <c r="C868" s="14"/>
    </row>
    <row r="869" ht="36.0" customHeight="1">
      <c r="A869" s="14"/>
      <c r="B869" s="14"/>
      <c r="C869" s="14"/>
    </row>
    <row r="870" ht="36.0" customHeight="1">
      <c r="A870" s="14"/>
      <c r="B870" s="14"/>
      <c r="C870" s="14"/>
    </row>
    <row r="871" ht="36.0" customHeight="1">
      <c r="A871" s="14"/>
      <c r="B871" s="14"/>
      <c r="C871" s="14"/>
    </row>
    <row r="872" ht="36.0" customHeight="1">
      <c r="A872" s="14"/>
      <c r="B872" s="14"/>
      <c r="C872" s="14"/>
    </row>
    <row r="873" ht="36.0" customHeight="1">
      <c r="A873" s="14"/>
      <c r="B873" s="14"/>
      <c r="C873" s="14"/>
    </row>
    <row r="874" ht="36.0" customHeight="1">
      <c r="A874" s="14"/>
      <c r="B874" s="14"/>
      <c r="C874" s="14"/>
    </row>
    <row r="875" ht="36.0" customHeight="1">
      <c r="A875" s="14"/>
      <c r="B875" s="14"/>
      <c r="C875" s="14"/>
    </row>
    <row r="876" ht="36.0" customHeight="1">
      <c r="A876" s="14"/>
      <c r="B876" s="14"/>
      <c r="C876" s="14"/>
    </row>
    <row r="877" ht="36.0" customHeight="1">
      <c r="A877" s="14"/>
      <c r="B877" s="14"/>
      <c r="C877" s="14"/>
    </row>
    <row r="878" ht="36.0" customHeight="1">
      <c r="A878" s="14"/>
      <c r="B878" s="14"/>
      <c r="C878" s="14"/>
    </row>
    <row r="879" ht="36.0" customHeight="1">
      <c r="A879" s="14"/>
      <c r="B879" s="14"/>
      <c r="C879" s="14"/>
    </row>
    <row r="880" ht="36.0" customHeight="1">
      <c r="A880" s="14"/>
      <c r="B880" s="14"/>
      <c r="C880" s="14"/>
    </row>
    <row r="881" ht="36.0" customHeight="1">
      <c r="A881" s="14"/>
      <c r="B881" s="14"/>
      <c r="C881" s="14"/>
    </row>
    <row r="882" ht="36.0" customHeight="1">
      <c r="A882" s="14"/>
      <c r="B882" s="14"/>
      <c r="C882" s="14"/>
    </row>
    <row r="883" ht="36.0" customHeight="1">
      <c r="A883" s="14"/>
      <c r="B883" s="14"/>
      <c r="C883" s="14"/>
    </row>
    <row r="884" ht="36.0" customHeight="1">
      <c r="A884" s="14"/>
      <c r="B884" s="14"/>
      <c r="C884" s="14"/>
    </row>
    <row r="885" ht="36.0" customHeight="1">
      <c r="A885" s="14"/>
      <c r="B885" s="14"/>
      <c r="C885" s="14"/>
    </row>
    <row r="886" ht="36.0" customHeight="1">
      <c r="A886" s="14"/>
      <c r="B886" s="14"/>
      <c r="C886" s="14"/>
    </row>
    <row r="887" ht="36.0" customHeight="1">
      <c r="A887" s="14"/>
      <c r="B887" s="14"/>
      <c r="C887" s="14"/>
    </row>
    <row r="888" ht="36.0" customHeight="1">
      <c r="A888" s="14"/>
      <c r="B888" s="14"/>
      <c r="C888" s="14"/>
    </row>
    <row r="889" ht="36.0" customHeight="1">
      <c r="A889" s="14"/>
      <c r="B889" s="14"/>
      <c r="C889" s="14"/>
    </row>
    <row r="890" ht="36.0" customHeight="1">
      <c r="A890" s="14"/>
      <c r="B890" s="14"/>
      <c r="C890" s="14"/>
    </row>
    <row r="891" ht="36.0" customHeight="1">
      <c r="A891" s="14"/>
      <c r="B891" s="14"/>
      <c r="C891" s="14"/>
    </row>
    <row r="892" ht="36.0" customHeight="1">
      <c r="A892" s="14"/>
      <c r="B892" s="14"/>
      <c r="C892" s="14"/>
    </row>
    <row r="893" ht="36.0" customHeight="1">
      <c r="A893" s="14"/>
      <c r="B893" s="14"/>
      <c r="C893" s="14"/>
    </row>
    <row r="894" ht="36.0" customHeight="1">
      <c r="A894" s="14"/>
      <c r="B894" s="14"/>
      <c r="C894" s="14"/>
    </row>
    <row r="895" ht="36.0" customHeight="1">
      <c r="A895" s="14"/>
      <c r="B895" s="14"/>
      <c r="C895" s="14"/>
    </row>
    <row r="896" ht="36.0" customHeight="1">
      <c r="A896" s="14"/>
      <c r="B896" s="14"/>
      <c r="C896" s="14"/>
    </row>
    <row r="897" ht="36.0" customHeight="1">
      <c r="A897" s="14"/>
      <c r="B897" s="14"/>
      <c r="C897" s="14"/>
    </row>
    <row r="898" ht="36.0" customHeight="1">
      <c r="A898" s="14"/>
      <c r="B898" s="14"/>
      <c r="C898" s="14"/>
    </row>
    <row r="899" ht="36.0" customHeight="1">
      <c r="A899" s="14"/>
      <c r="B899" s="14"/>
      <c r="C899" s="14"/>
    </row>
    <row r="900" ht="36.0" customHeight="1">
      <c r="A900" s="14"/>
      <c r="B900" s="14"/>
      <c r="C900" s="14"/>
    </row>
    <row r="901" ht="36.0" customHeight="1">
      <c r="A901" s="14"/>
      <c r="B901" s="14"/>
      <c r="C901" s="14"/>
    </row>
    <row r="902" ht="36.0" customHeight="1">
      <c r="A902" s="14"/>
      <c r="B902" s="14"/>
      <c r="C902" s="14"/>
    </row>
    <row r="903" ht="36.0" customHeight="1">
      <c r="A903" s="14"/>
      <c r="B903" s="14"/>
      <c r="C903" s="14"/>
    </row>
    <row r="904" ht="36.0" customHeight="1">
      <c r="A904" s="14"/>
      <c r="B904" s="14"/>
      <c r="C904" s="14"/>
    </row>
    <row r="905" ht="36.0" customHeight="1">
      <c r="A905" s="14"/>
      <c r="B905" s="14"/>
      <c r="C905" s="14"/>
    </row>
    <row r="906" ht="36.0" customHeight="1">
      <c r="A906" s="14"/>
      <c r="B906" s="14"/>
      <c r="C906" s="14"/>
    </row>
    <row r="907" ht="36.0" customHeight="1">
      <c r="A907" s="14"/>
      <c r="B907" s="14"/>
      <c r="C907" s="14"/>
    </row>
    <row r="908" ht="36.0" customHeight="1">
      <c r="A908" s="14"/>
      <c r="B908" s="14"/>
      <c r="C908" s="14"/>
    </row>
    <row r="909" ht="36.0" customHeight="1">
      <c r="A909" s="14"/>
      <c r="B909" s="14"/>
      <c r="C909" s="14"/>
    </row>
    <row r="910" ht="36.0" customHeight="1">
      <c r="A910" s="14"/>
      <c r="B910" s="14"/>
      <c r="C910" s="14"/>
    </row>
    <row r="911" ht="36.0" customHeight="1">
      <c r="A911" s="14"/>
      <c r="B911" s="14"/>
      <c r="C911" s="14"/>
    </row>
    <row r="912" ht="36.0" customHeight="1">
      <c r="A912" s="14"/>
      <c r="B912" s="14"/>
      <c r="C912" s="14"/>
    </row>
    <row r="913" ht="36.0" customHeight="1">
      <c r="A913" s="14"/>
      <c r="B913" s="14"/>
      <c r="C913" s="14"/>
    </row>
    <row r="914" ht="36.0" customHeight="1">
      <c r="A914" s="14"/>
      <c r="B914" s="14"/>
      <c r="C914" s="14"/>
    </row>
    <row r="915" ht="36.0" customHeight="1">
      <c r="A915" s="14"/>
      <c r="B915" s="14"/>
      <c r="C915" s="14"/>
    </row>
    <row r="916" ht="36.0" customHeight="1">
      <c r="A916" s="14"/>
      <c r="B916" s="14"/>
      <c r="C916" s="14"/>
    </row>
    <row r="917" ht="36.0" customHeight="1">
      <c r="A917" s="14"/>
      <c r="B917" s="14"/>
      <c r="C917" s="14"/>
    </row>
    <row r="918" ht="36.0" customHeight="1">
      <c r="A918" s="14"/>
      <c r="B918" s="14"/>
      <c r="C918" s="14"/>
    </row>
    <row r="919" ht="36.0" customHeight="1">
      <c r="A919" s="14"/>
      <c r="B919" s="14"/>
      <c r="C919" s="14"/>
    </row>
    <row r="920" ht="36.0" customHeight="1">
      <c r="A920" s="14"/>
      <c r="B920" s="14"/>
      <c r="C920" s="14"/>
    </row>
    <row r="921" ht="36.0" customHeight="1">
      <c r="A921" s="14"/>
      <c r="B921" s="14"/>
      <c r="C921" s="14"/>
    </row>
    <row r="922" ht="36.0" customHeight="1">
      <c r="A922" s="14"/>
      <c r="B922" s="14"/>
      <c r="C922" s="14"/>
    </row>
    <row r="923" ht="36.0" customHeight="1">
      <c r="A923" s="14"/>
      <c r="B923" s="14"/>
      <c r="C923" s="14"/>
    </row>
    <row r="924" ht="36.0" customHeight="1">
      <c r="A924" s="14"/>
      <c r="B924" s="14"/>
      <c r="C924" s="14"/>
    </row>
    <row r="925" ht="36.0" customHeight="1">
      <c r="A925" s="14"/>
      <c r="B925" s="14"/>
      <c r="C925" s="14"/>
    </row>
    <row r="926" ht="36.0" customHeight="1">
      <c r="A926" s="14"/>
      <c r="B926" s="14"/>
      <c r="C926" s="14"/>
    </row>
    <row r="927" ht="36.0" customHeight="1">
      <c r="A927" s="14"/>
      <c r="B927" s="14"/>
      <c r="C927" s="14"/>
    </row>
    <row r="928" ht="36.0" customHeight="1">
      <c r="A928" s="14"/>
      <c r="B928" s="14"/>
      <c r="C928" s="14"/>
    </row>
    <row r="929" ht="36.0" customHeight="1">
      <c r="A929" s="14"/>
      <c r="B929" s="14"/>
      <c r="C929" s="14"/>
    </row>
    <row r="930" ht="36.0" customHeight="1">
      <c r="A930" s="14"/>
      <c r="B930" s="14"/>
      <c r="C930" s="14"/>
    </row>
    <row r="931" ht="36.0" customHeight="1">
      <c r="A931" s="14"/>
      <c r="B931" s="14"/>
      <c r="C931" s="14"/>
    </row>
    <row r="932" ht="36.0" customHeight="1">
      <c r="A932" s="14"/>
      <c r="B932" s="14"/>
      <c r="C932" s="14"/>
    </row>
    <row r="933" ht="36.0" customHeight="1">
      <c r="A933" s="14"/>
      <c r="B933" s="14"/>
      <c r="C933" s="14"/>
    </row>
    <row r="934" ht="36.0" customHeight="1">
      <c r="A934" s="14"/>
      <c r="B934" s="14"/>
      <c r="C934" s="14"/>
    </row>
    <row r="935" ht="36.0" customHeight="1">
      <c r="A935" s="14"/>
      <c r="B935" s="14"/>
      <c r="C935" s="14"/>
    </row>
    <row r="936" ht="36.0" customHeight="1">
      <c r="A936" s="14"/>
      <c r="B936" s="14"/>
      <c r="C936" s="14"/>
    </row>
    <row r="937" ht="36.0" customHeight="1">
      <c r="A937" s="14"/>
      <c r="B937" s="14"/>
      <c r="C937" s="14"/>
    </row>
    <row r="938" ht="36.0" customHeight="1">
      <c r="A938" s="14"/>
      <c r="B938" s="14"/>
      <c r="C938" s="14"/>
    </row>
    <row r="939" ht="36.0" customHeight="1">
      <c r="A939" s="14"/>
      <c r="B939" s="14"/>
      <c r="C939" s="14"/>
    </row>
    <row r="940" ht="36.0" customHeight="1">
      <c r="A940" s="14"/>
      <c r="B940" s="14"/>
      <c r="C940" s="14"/>
    </row>
    <row r="941" ht="36.0" customHeight="1">
      <c r="A941" s="14"/>
      <c r="B941" s="14"/>
      <c r="C941" s="14"/>
    </row>
    <row r="942" ht="36.0" customHeight="1">
      <c r="A942" s="14"/>
      <c r="B942" s="14"/>
      <c r="C942" s="14"/>
    </row>
    <row r="943" ht="36.0" customHeight="1">
      <c r="A943" s="14"/>
      <c r="B943" s="14"/>
      <c r="C943" s="14"/>
    </row>
    <row r="944" ht="36.0" customHeight="1">
      <c r="A944" s="14"/>
      <c r="B944" s="14"/>
      <c r="C944" s="14"/>
    </row>
    <row r="945" ht="36.0" customHeight="1">
      <c r="A945" s="14"/>
      <c r="B945" s="14"/>
      <c r="C945" s="14"/>
    </row>
    <row r="946" ht="36.0" customHeight="1">
      <c r="A946" s="14"/>
      <c r="B946" s="14"/>
      <c r="C946" s="14"/>
    </row>
    <row r="947" ht="36.0" customHeight="1">
      <c r="A947" s="14"/>
      <c r="B947" s="14"/>
      <c r="C947" s="14"/>
    </row>
    <row r="948" ht="36.0" customHeight="1">
      <c r="A948" s="14"/>
      <c r="B948" s="14"/>
      <c r="C948" s="14"/>
    </row>
    <row r="949" ht="36.0" customHeight="1">
      <c r="A949" s="14"/>
      <c r="B949" s="14"/>
      <c r="C949" s="14"/>
    </row>
    <row r="950" ht="36.0" customHeight="1">
      <c r="A950" s="14"/>
      <c r="B950" s="14"/>
      <c r="C950" s="14"/>
    </row>
    <row r="951" ht="36.0" customHeight="1">
      <c r="A951" s="14"/>
      <c r="B951" s="14"/>
      <c r="C951" s="14"/>
    </row>
    <row r="952" ht="36.0" customHeight="1">
      <c r="A952" s="14"/>
      <c r="B952" s="14"/>
      <c r="C952" s="14"/>
    </row>
    <row r="953" ht="36.0" customHeight="1">
      <c r="A953" s="14"/>
      <c r="B953" s="14"/>
      <c r="C953" s="14"/>
    </row>
    <row r="954" ht="36.0" customHeight="1">
      <c r="A954" s="14"/>
      <c r="B954" s="14"/>
      <c r="C954" s="14"/>
    </row>
    <row r="955" ht="36.0" customHeight="1">
      <c r="A955" s="14"/>
      <c r="B955" s="14"/>
      <c r="C955" s="14"/>
    </row>
    <row r="956" ht="36.0" customHeight="1">
      <c r="A956" s="14"/>
      <c r="B956" s="14"/>
      <c r="C956" s="14"/>
    </row>
    <row r="957" ht="36.0" customHeight="1">
      <c r="A957" s="14"/>
      <c r="B957" s="14"/>
      <c r="C957" s="14"/>
    </row>
    <row r="958" ht="36.0" customHeight="1">
      <c r="A958" s="14"/>
      <c r="B958" s="14"/>
      <c r="C958" s="14"/>
    </row>
    <row r="959" ht="36.0" customHeight="1">
      <c r="A959" s="14"/>
      <c r="B959" s="14"/>
      <c r="C959" s="14"/>
    </row>
    <row r="960" ht="36.0" customHeight="1">
      <c r="A960" s="14"/>
      <c r="B960" s="14"/>
      <c r="C960" s="14"/>
    </row>
    <row r="961" ht="36.0" customHeight="1">
      <c r="A961" s="14"/>
      <c r="B961" s="14"/>
      <c r="C961" s="14"/>
    </row>
    <row r="962" ht="36.0" customHeight="1">
      <c r="A962" s="14"/>
      <c r="B962" s="14"/>
      <c r="C962" s="14"/>
    </row>
    <row r="963" ht="36.0" customHeight="1">
      <c r="A963" s="14"/>
      <c r="B963" s="14"/>
      <c r="C963" s="14"/>
    </row>
    <row r="964" ht="36.0" customHeight="1">
      <c r="A964" s="14"/>
      <c r="B964" s="14"/>
      <c r="C964" s="14"/>
    </row>
    <row r="965" ht="36.0" customHeight="1">
      <c r="A965" s="14"/>
      <c r="B965" s="14"/>
      <c r="C965" s="14"/>
    </row>
    <row r="966" ht="36.0" customHeight="1">
      <c r="A966" s="14"/>
      <c r="B966" s="14"/>
      <c r="C966" s="14"/>
    </row>
    <row r="967" ht="36.0" customHeight="1">
      <c r="A967" s="14"/>
      <c r="B967" s="14"/>
      <c r="C967" s="14"/>
    </row>
    <row r="968" ht="36.0" customHeight="1">
      <c r="A968" s="14"/>
      <c r="B968" s="14"/>
      <c r="C968" s="14"/>
    </row>
    <row r="969" ht="36.0" customHeight="1">
      <c r="A969" s="14"/>
      <c r="B969" s="14"/>
      <c r="C969" s="14"/>
    </row>
    <row r="970" ht="36.0" customHeight="1">
      <c r="A970" s="14"/>
      <c r="B970" s="14"/>
      <c r="C970" s="14"/>
    </row>
    <row r="971" ht="36.0" customHeight="1">
      <c r="A971" s="14"/>
      <c r="B971" s="14"/>
      <c r="C971" s="14"/>
    </row>
    <row r="972" ht="36.0" customHeight="1">
      <c r="A972" s="14"/>
      <c r="B972" s="14"/>
      <c r="C972" s="14"/>
    </row>
    <row r="973" ht="36.0" customHeight="1">
      <c r="A973" s="14"/>
      <c r="B973" s="14"/>
      <c r="C973" s="14"/>
    </row>
    <row r="974" ht="36.0" customHeight="1">
      <c r="A974" s="14"/>
      <c r="B974" s="14"/>
      <c r="C974" s="14"/>
    </row>
    <row r="975" ht="36.0" customHeight="1">
      <c r="A975" s="14"/>
      <c r="B975" s="14"/>
      <c r="C975" s="14"/>
    </row>
    <row r="976" ht="36.0" customHeight="1">
      <c r="A976" s="14"/>
      <c r="B976" s="14"/>
      <c r="C976" s="14"/>
    </row>
    <row r="977" ht="36.0" customHeight="1">
      <c r="A977" s="14"/>
      <c r="B977" s="14"/>
      <c r="C977" s="14"/>
    </row>
    <row r="978" ht="36.0" customHeight="1">
      <c r="A978" s="14"/>
      <c r="B978" s="14"/>
      <c r="C978" s="14"/>
    </row>
    <row r="979" ht="36.0" customHeight="1">
      <c r="A979" s="14"/>
      <c r="B979" s="14"/>
      <c r="C979" s="14"/>
    </row>
    <row r="980" ht="36.0" customHeight="1">
      <c r="A980" s="14"/>
      <c r="B980" s="14"/>
      <c r="C980" s="14"/>
    </row>
    <row r="981" ht="36.0" customHeight="1">
      <c r="A981" s="14"/>
      <c r="B981" s="14"/>
      <c r="C981" s="14"/>
    </row>
    <row r="982" ht="36.0" customHeight="1">
      <c r="A982" s="14"/>
      <c r="B982" s="14"/>
      <c r="C982" s="14"/>
    </row>
    <row r="983" ht="36.0" customHeight="1">
      <c r="A983" s="14"/>
      <c r="B983" s="14"/>
      <c r="C983" s="14"/>
    </row>
    <row r="984" ht="36.0" customHeight="1">
      <c r="A984" s="14"/>
      <c r="B984" s="14"/>
      <c r="C984" s="14"/>
    </row>
    <row r="985" ht="36.0" customHeight="1">
      <c r="A985" s="14"/>
      <c r="B985" s="14"/>
      <c r="C985" s="14"/>
    </row>
    <row r="986" ht="36.0" customHeight="1">
      <c r="A986" s="14"/>
      <c r="B986" s="14"/>
      <c r="C986" s="14"/>
    </row>
    <row r="987" ht="36.0" customHeight="1">
      <c r="A987" s="14"/>
      <c r="B987" s="14"/>
      <c r="C987" s="14"/>
    </row>
    <row r="988" ht="36.0" customHeight="1">
      <c r="A988" s="14"/>
      <c r="B988" s="14"/>
      <c r="C988" s="14"/>
    </row>
    <row r="989" ht="36.0" customHeight="1">
      <c r="A989" s="14"/>
      <c r="B989" s="14"/>
      <c r="C989" s="14"/>
    </row>
    <row r="990" ht="36.0" customHeight="1">
      <c r="A990" s="14"/>
      <c r="B990" s="14"/>
      <c r="C990" s="14"/>
    </row>
    <row r="991" ht="36.0" customHeight="1">
      <c r="A991" s="14"/>
      <c r="B991" s="14"/>
      <c r="C991" s="14"/>
    </row>
    <row r="992" ht="36.0" customHeight="1">
      <c r="A992" s="14"/>
      <c r="B992" s="14"/>
      <c r="C992" s="14"/>
    </row>
    <row r="993" ht="36.0" customHeight="1">
      <c r="A993" s="14"/>
      <c r="B993" s="14"/>
      <c r="C993" s="14"/>
    </row>
    <row r="994" ht="36.0" customHeight="1">
      <c r="A994" s="14"/>
      <c r="B994" s="14"/>
      <c r="C994" s="14"/>
    </row>
    <row r="995" ht="36.0" customHeight="1">
      <c r="A995" s="14"/>
      <c r="B995" s="14"/>
      <c r="C995" s="14"/>
    </row>
    <row r="996" ht="36.0" customHeight="1">
      <c r="A996" s="14"/>
      <c r="B996" s="14"/>
      <c r="C996" s="14"/>
    </row>
    <row r="997" ht="36.0" customHeight="1">
      <c r="A997" s="14"/>
      <c r="B997" s="14"/>
      <c r="C997" s="14"/>
    </row>
    <row r="998" ht="36.0" customHeight="1">
      <c r="A998" s="14"/>
      <c r="B998" s="14"/>
      <c r="C998" s="14"/>
    </row>
    <row r="999" ht="36.0" customHeight="1">
      <c r="A999" s="14"/>
      <c r="B999" s="14"/>
      <c r="C999" s="14"/>
    </row>
    <row r="1000" ht="36.0" customHeight="1">
      <c r="A1000" s="14"/>
      <c r="B1000" s="14"/>
      <c r="C1000" s="14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0.29"/>
    <col customWidth="1" min="3" max="3" width="75.0"/>
  </cols>
  <sheetData>
    <row r="1" ht="33.75" customHeight="1">
      <c r="A1" s="16" t="s">
        <v>1220</v>
      </c>
      <c r="B1" s="16" t="str">
        <f>IMAGE("https://lmztiles.s3.eu-west-1.amazonaws.com/Modern_Interiors_v41.3.4/1_Interiors/16x16/Theme_Sorter_Singles/6_Music_and_Sport/Music_and_Sport_Singles_1.png")</f>
        <v/>
      </c>
      <c r="C1" s="8" t="s">
        <v>1221</v>
      </c>
    </row>
    <row r="2" ht="33.75" customHeight="1">
      <c r="A2" s="16" t="s">
        <v>1222</v>
      </c>
      <c r="B2" s="16" t="str">
        <f>IMAGE("https://lmztiles.s3.eu-west-1.amazonaws.com/Modern_Interiors_v41.3.4/1_Interiors/16x16/Theme_Sorter_Singles/6_Music_and_Sport/Music_and_Sport_Singles_2.png")</f>
        <v/>
      </c>
      <c r="C2" s="8" t="s">
        <v>1223</v>
      </c>
    </row>
    <row r="3" ht="33.75" customHeight="1">
      <c r="A3" s="16" t="s">
        <v>1224</v>
      </c>
      <c r="B3" s="16" t="str">
        <f>IMAGE("https://lmztiles.s3.eu-west-1.amazonaws.com/Modern_Interiors_v41.3.4/1_Interiors/16x16/Theme_Sorter_Singles/6_Music_and_Sport/Music_and_Sport_Singles_3.png")</f>
        <v/>
      </c>
      <c r="C3" s="8" t="s">
        <v>1225</v>
      </c>
    </row>
    <row r="4" ht="33.75" customHeight="1">
      <c r="A4" s="16" t="s">
        <v>1226</v>
      </c>
      <c r="B4" s="16" t="str">
        <f>IMAGE("https://lmztiles.s3.eu-west-1.amazonaws.com/Modern_Interiors_v41.3.4/1_Interiors/16x16/Theme_Sorter_Singles/6_Music_and_Sport/Music_and_Sport_Singles_4.png")</f>
        <v/>
      </c>
      <c r="C4" s="8" t="s">
        <v>1227</v>
      </c>
    </row>
    <row r="5" ht="33.75" customHeight="1">
      <c r="A5" s="16" t="s">
        <v>1228</v>
      </c>
      <c r="B5" s="16" t="str">
        <f>IMAGE("https://lmztiles.s3.eu-west-1.amazonaws.com/Modern_Interiors_v41.3.4/1_Interiors/16x16/Theme_Sorter_Singles/6_Music_and_Sport/Music_and_Sport_Singles_5.png")</f>
        <v/>
      </c>
      <c r="C5" s="8" t="s">
        <v>1229</v>
      </c>
    </row>
    <row r="6" ht="33.75" customHeight="1">
      <c r="A6" s="16" t="s">
        <v>1230</v>
      </c>
      <c r="B6" s="16" t="str">
        <f>IMAGE("https://lmztiles.s3.eu-west-1.amazonaws.com/Modern_Interiors_v41.3.4/1_Interiors/16x16/Theme_Sorter_Singles/6_Music_and_Sport/Music_and_Sport_Singles_6.png")</f>
        <v/>
      </c>
      <c r="C6" s="8" t="s">
        <v>1231</v>
      </c>
    </row>
    <row r="7" ht="33.75" customHeight="1">
      <c r="A7" s="16" t="s">
        <v>1232</v>
      </c>
      <c r="B7" s="16" t="str">
        <f>IMAGE("https://lmztiles.s3.eu-west-1.amazonaws.com/Modern_Interiors_v41.3.4/1_Interiors/16x16/Theme_Sorter_Singles/6_Music_and_Sport/Music_and_Sport_Singles_7.png")</f>
        <v/>
      </c>
      <c r="C7" s="8" t="s">
        <v>1225</v>
      </c>
    </row>
    <row r="8" ht="33.75" customHeight="1">
      <c r="A8" s="16" t="s">
        <v>1233</v>
      </c>
      <c r="B8" s="16" t="str">
        <f>IMAGE("https://lmztiles.s3.eu-west-1.amazonaws.com/Modern_Interiors_v41.3.4/1_Interiors/16x16/Theme_Sorter_Singles/6_Music_and_Sport/Music_and_Sport_Singles_8.png")</f>
        <v/>
      </c>
      <c r="C8" s="8" t="s">
        <v>1227</v>
      </c>
    </row>
    <row r="9" ht="33.75" customHeight="1">
      <c r="A9" s="16" t="s">
        <v>1234</v>
      </c>
      <c r="B9" s="16" t="str">
        <f>IMAGE("https://lmztiles.s3.eu-west-1.amazonaws.com/Modern_Interiors_v41.3.4/1_Interiors/16x16/Theme_Sorter_Singles/6_Music_and_Sport/Music_and_Sport_Singles_9.png")</f>
        <v/>
      </c>
      <c r="C9" s="8" t="s">
        <v>1221</v>
      </c>
    </row>
    <row r="10" ht="33.75" customHeight="1">
      <c r="A10" s="16" t="s">
        <v>1235</v>
      </c>
      <c r="B10" s="16" t="str">
        <f>IMAGE("https://lmztiles.s3.eu-west-1.amazonaws.com/Modern_Interiors_v41.3.4/1_Interiors/16x16/Theme_Sorter_Singles/6_Music_and_Sport/Music_and_Sport_Singles_10.png")</f>
        <v/>
      </c>
      <c r="C10" s="8" t="s">
        <v>1223</v>
      </c>
    </row>
    <row r="11" ht="33.75" customHeight="1">
      <c r="A11" s="16" t="s">
        <v>1236</v>
      </c>
      <c r="B11" s="16" t="str">
        <f>IMAGE("https://lmztiles.s3.eu-west-1.amazonaws.com/Modern_Interiors_v41.3.4/1_Interiors/16x16/Theme_Sorter_Singles/6_Music_and_Sport/Music_and_Sport_Singles_11.png")</f>
        <v/>
      </c>
      <c r="C11" s="8" t="s">
        <v>1225</v>
      </c>
    </row>
    <row r="12" ht="33.75" customHeight="1">
      <c r="A12" s="16" t="s">
        <v>1237</v>
      </c>
      <c r="B12" s="16" t="str">
        <f>IMAGE("https://lmztiles.s3.eu-west-1.amazonaws.com/Modern_Interiors_v41.3.4/1_Interiors/16x16/Theme_Sorter_Singles/6_Music_and_Sport/Music_and_Sport_Singles_12.png")</f>
        <v/>
      </c>
      <c r="C12" s="8" t="s">
        <v>1227</v>
      </c>
    </row>
    <row r="13" ht="33.75" customHeight="1">
      <c r="A13" s="16" t="s">
        <v>1238</v>
      </c>
      <c r="B13" s="16" t="str">
        <f>IMAGE("https://lmztiles.s3.eu-west-1.amazonaws.com/Modern_Interiors_v41.3.4/1_Interiors/16x16/Theme_Sorter_Singles/6_Music_and_Sport/Music_and_Sport_Singles_13.png")</f>
        <v/>
      </c>
      <c r="C13" s="8" t="s">
        <v>1225</v>
      </c>
    </row>
    <row r="14" ht="33.75" customHeight="1">
      <c r="A14" s="16" t="s">
        <v>1239</v>
      </c>
      <c r="B14" s="16" t="str">
        <f>IMAGE("https://lmztiles.s3.eu-west-1.amazonaws.com/Modern_Interiors_v41.3.4/1_Interiors/16x16/Theme_Sorter_Singles/6_Music_and_Sport/Music_and_Sport_Singles_14.png")</f>
        <v/>
      </c>
      <c r="C14" s="8" t="s">
        <v>1227</v>
      </c>
    </row>
    <row r="15" ht="33.75" customHeight="1">
      <c r="A15" s="16" t="s">
        <v>1240</v>
      </c>
      <c r="B15" s="16" t="str">
        <f>IMAGE("https://lmztiles.s3.eu-west-1.amazonaws.com/Modern_Interiors_v41.3.4/1_Interiors/16x16/Theme_Sorter_Singles/6_Music_and_Sport/Music_and_Sport_Singles_15.png")</f>
        <v/>
      </c>
      <c r="C15" s="8" t="s">
        <v>1229</v>
      </c>
    </row>
    <row r="16" ht="33.75" customHeight="1">
      <c r="A16" s="16" t="s">
        <v>1241</v>
      </c>
      <c r="B16" s="16" t="str">
        <f>IMAGE("https://lmztiles.s3.eu-west-1.amazonaws.com/Modern_Interiors_v41.3.4/1_Interiors/16x16/Theme_Sorter_Singles/6_Music_and_Sport/Music_and_Sport_Singles_16.png")</f>
        <v/>
      </c>
      <c r="C16" s="8" t="s">
        <v>1231</v>
      </c>
    </row>
    <row r="17" ht="33.75" customHeight="1">
      <c r="A17" s="16" t="s">
        <v>1242</v>
      </c>
      <c r="B17" s="16" t="str">
        <f>IMAGE("https://lmztiles.s3.eu-west-1.amazonaws.com/Modern_Interiors_v41.3.4/1_Interiors/16x16/Theme_Sorter_Singles/6_Music_and_Sport/Music_and_Sport_Singles_17.png")</f>
        <v/>
      </c>
      <c r="C17" s="8" t="s">
        <v>1221</v>
      </c>
    </row>
    <row r="18" ht="33.75" customHeight="1">
      <c r="A18" s="16" t="s">
        <v>1243</v>
      </c>
      <c r="B18" s="16" t="str">
        <f>IMAGE("https://lmztiles.s3.eu-west-1.amazonaws.com/Modern_Interiors_v41.3.4/1_Interiors/16x16/Theme_Sorter_Singles/6_Music_and_Sport/Music_and_Sport_Singles_18.png")</f>
        <v/>
      </c>
      <c r="C18" s="8" t="s">
        <v>1223</v>
      </c>
    </row>
    <row r="19" ht="33.75" customHeight="1">
      <c r="A19" s="16" t="s">
        <v>1244</v>
      </c>
      <c r="B19" s="16" t="str">
        <f>IMAGE("https://lmztiles.s3.eu-west-1.amazonaws.com/Modern_Interiors_v41.3.4/1_Interiors/16x16/Theme_Sorter_Singles/6_Music_and_Sport/Music_and_Sport_Singles_19.png")</f>
        <v/>
      </c>
      <c r="C19" s="8" t="s">
        <v>1225</v>
      </c>
    </row>
    <row r="20" ht="33.75" customHeight="1">
      <c r="A20" s="16" t="s">
        <v>1245</v>
      </c>
      <c r="B20" s="16" t="str">
        <f>IMAGE("https://lmztiles.s3.eu-west-1.amazonaws.com/Modern_Interiors_v41.3.4/1_Interiors/16x16/Theme_Sorter_Singles/6_Music_and_Sport/Music_and_Sport_Singles_20.png")</f>
        <v/>
      </c>
      <c r="C20" s="8" t="s">
        <v>1227</v>
      </c>
    </row>
    <row r="21" ht="33.75" customHeight="1">
      <c r="A21" s="16" t="s">
        <v>1246</v>
      </c>
      <c r="B21" s="16" t="str">
        <f>IMAGE("https://lmztiles.s3.eu-west-1.amazonaws.com/Modern_Interiors_v41.3.4/1_Interiors/16x16/Theme_Sorter_Singles/6_Music_and_Sport/Music_and_Sport_Singles_21.png")</f>
        <v/>
      </c>
      <c r="C21" s="8" t="s">
        <v>1225</v>
      </c>
    </row>
    <row r="22" ht="33.75" customHeight="1">
      <c r="A22" s="16" t="s">
        <v>1247</v>
      </c>
      <c r="B22" s="16" t="str">
        <f>IMAGE("https://lmztiles.s3.eu-west-1.amazonaws.com/Modern_Interiors_v41.3.4/1_Interiors/16x16/Theme_Sorter_Singles/6_Music_and_Sport/Music_and_Sport_Singles_22.png")</f>
        <v/>
      </c>
      <c r="C22" s="8" t="s">
        <v>1227</v>
      </c>
    </row>
    <row r="23" ht="33.75" customHeight="1">
      <c r="A23" s="16" t="s">
        <v>1248</v>
      </c>
      <c r="B23" s="16" t="str">
        <f>IMAGE("https://lmztiles.s3.eu-west-1.amazonaws.com/Modern_Interiors_v41.3.4/1_Interiors/16x16/Theme_Sorter_Singles/6_Music_and_Sport/Music_and_Sport_Singles_23.png")</f>
        <v/>
      </c>
      <c r="C23" s="8" t="s">
        <v>1229</v>
      </c>
    </row>
    <row r="24" ht="33.75" customHeight="1">
      <c r="A24" s="16" t="s">
        <v>1249</v>
      </c>
      <c r="B24" s="16" t="str">
        <f>IMAGE("https://lmztiles.s3.eu-west-1.amazonaws.com/Modern_Interiors_v41.3.4/1_Interiors/16x16/Theme_Sorter_Singles/6_Music_and_Sport/Music_and_Sport_Singles_24.png")</f>
        <v/>
      </c>
      <c r="C24" s="8" t="s">
        <v>1231</v>
      </c>
    </row>
    <row r="25" ht="33.75" customHeight="1">
      <c r="A25" s="16" t="s">
        <v>1250</v>
      </c>
      <c r="B25" s="16" t="str">
        <f>IMAGE("https://lmztiles.s3.eu-west-1.amazonaws.com/Modern_Interiors_v41.3.4/1_Interiors/16x16/Theme_Sorter_Singles/6_Music_and_Sport/Music_and_Sport_Singles_25.png")</f>
        <v/>
      </c>
      <c r="C25" s="8" t="s">
        <v>1251</v>
      </c>
    </row>
    <row r="26" ht="33.75" customHeight="1">
      <c r="A26" s="16" t="s">
        <v>1252</v>
      </c>
      <c r="B26" s="16" t="str">
        <f>IMAGE("https://lmztiles.s3.eu-west-1.amazonaws.com/Modern_Interiors_v41.3.4/1_Interiors/16x16/Theme_Sorter_Singles/6_Music_and_Sport/Music_and_Sport_Singles_26.png")</f>
        <v/>
      </c>
      <c r="C26" s="8" t="s">
        <v>1251</v>
      </c>
    </row>
    <row r="27" ht="33.75" customHeight="1">
      <c r="A27" s="16" t="s">
        <v>1253</v>
      </c>
      <c r="B27" s="16" t="str">
        <f>IMAGE("https://lmztiles.s3.eu-west-1.amazonaws.com/Modern_Interiors_v41.3.4/1_Interiors/16x16/Theme_Sorter_Singles/6_Music_and_Sport/Music_and_Sport_Singles_27.png")</f>
        <v/>
      </c>
      <c r="C27" s="8" t="s">
        <v>1254</v>
      </c>
    </row>
    <row r="28" ht="33.75" customHeight="1">
      <c r="A28" s="16" t="s">
        <v>1255</v>
      </c>
      <c r="B28" s="16" t="str">
        <f>IMAGE("https://lmztiles.s3.eu-west-1.amazonaws.com/Modern_Interiors_v41.3.4/1_Interiors/16x16/Theme_Sorter_Singles/6_Music_and_Sport/Music_and_Sport_Singles_28.png")</f>
        <v/>
      </c>
      <c r="C28" s="8" t="s">
        <v>1256</v>
      </c>
    </row>
    <row r="29" ht="33.75" customHeight="1">
      <c r="A29" s="16" t="s">
        <v>1257</v>
      </c>
      <c r="B29" s="16" t="str">
        <f>IMAGE("https://lmztiles.s3.eu-west-1.amazonaws.com/Modern_Interiors_v41.3.4/1_Interiors/16x16/Theme_Sorter_Singles/6_Music_and_Sport/Music_and_Sport_Singles_29.png")</f>
        <v/>
      </c>
      <c r="C29" s="8" t="s">
        <v>1256</v>
      </c>
    </row>
    <row r="30" ht="33.75" customHeight="1">
      <c r="A30" s="16" t="s">
        <v>1258</v>
      </c>
      <c r="B30" s="16" t="str">
        <f>IMAGE("https://lmztiles.s3.eu-west-1.amazonaws.com/Modern_Interiors_v41.3.4/1_Interiors/16x16/Theme_Sorter_Singles/6_Music_and_Sport/Music_and_Sport_Singles_30.png")</f>
        <v/>
      </c>
      <c r="C30" s="8" t="s">
        <v>1256</v>
      </c>
    </row>
    <row r="31" ht="33.75" customHeight="1">
      <c r="A31" s="16" t="s">
        <v>1259</v>
      </c>
      <c r="B31" s="16" t="str">
        <f>IMAGE("https://lmztiles.s3.eu-west-1.amazonaws.com/Modern_Interiors_v41.3.4/1_Interiors/16x16/Theme_Sorter_Singles/6_Music_and_Sport/Music_and_Sport_Singles_31.png")</f>
        <v/>
      </c>
      <c r="C31" s="8" t="s">
        <v>1256</v>
      </c>
    </row>
    <row r="32" ht="33.75" customHeight="1">
      <c r="A32" s="16" t="s">
        <v>1260</v>
      </c>
      <c r="B32" s="16" t="str">
        <f>IMAGE("https://lmztiles.s3.eu-west-1.amazonaws.com/Modern_Interiors_v41.3.4/1_Interiors/16x16/Theme_Sorter_Singles/6_Music_and_Sport/Music_and_Sport_Singles_32.png")</f>
        <v/>
      </c>
      <c r="C32" s="8" t="s">
        <v>1256</v>
      </c>
    </row>
    <row r="33" ht="33.75" customHeight="1">
      <c r="A33" s="16" t="s">
        <v>1261</v>
      </c>
      <c r="B33" s="16" t="str">
        <f>IMAGE("https://lmztiles.s3.eu-west-1.amazonaws.com/Modern_Interiors_v41.3.4/1_Interiors/16x16/Theme_Sorter_Singles/6_Music_and_Sport/Music_and_Sport_Singles_33.png")</f>
        <v/>
      </c>
      <c r="C33" s="8" t="s">
        <v>1256</v>
      </c>
    </row>
    <row r="34" ht="33.75" customHeight="1">
      <c r="A34" s="16" t="s">
        <v>1262</v>
      </c>
      <c r="B34" s="16" t="str">
        <f>IMAGE("https://lmztiles.s3.eu-west-1.amazonaws.com/Modern_Interiors_v41.3.4/1_Interiors/16x16/Theme_Sorter_Singles/6_Music_and_Sport/Music_and_Sport_Singles_34.png")</f>
        <v/>
      </c>
      <c r="C34" s="8" t="s">
        <v>1251</v>
      </c>
    </row>
    <row r="35" ht="33.75" customHeight="1">
      <c r="A35" s="16" t="s">
        <v>1263</v>
      </c>
      <c r="B35" s="16" t="str">
        <f>IMAGE("https://lmztiles.s3.eu-west-1.amazonaws.com/Modern_Interiors_v41.3.4/1_Interiors/16x16/Theme_Sorter_Singles/6_Music_and_Sport/Music_and_Sport_Singles_35.png")</f>
        <v/>
      </c>
      <c r="C35" s="8" t="s">
        <v>1251</v>
      </c>
    </row>
    <row r="36" ht="33.75" customHeight="1">
      <c r="A36" s="16" t="s">
        <v>1264</v>
      </c>
      <c r="B36" s="16" t="str">
        <f>IMAGE("https://lmztiles.s3.eu-west-1.amazonaws.com/Modern_Interiors_v41.3.4/1_Interiors/16x16/Theme_Sorter_Singles/6_Music_and_Sport/Music_and_Sport_Singles_36.png")</f>
        <v/>
      </c>
      <c r="C36" s="8" t="s">
        <v>1254</v>
      </c>
    </row>
    <row r="37" ht="33.75" customHeight="1">
      <c r="A37" s="16" t="s">
        <v>1265</v>
      </c>
      <c r="B37" s="16" t="str">
        <f>IMAGE("https://lmztiles.s3.eu-west-1.amazonaws.com/Modern_Interiors_v41.3.4/1_Interiors/16x16/Theme_Sorter_Singles/6_Music_and_Sport/Music_and_Sport_Singles_37.png")</f>
        <v/>
      </c>
      <c r="C37" s="8" t="s">
        <v>1266</v>
      </c>
    </row>
    <row r="38" ht="33.75" customHeight="1">
      <c r="A38" s="16" t="s">
        <v>1267</v>
      </c>
      <c r="B38" s="16" t="str">
        <f>IMAGE("https://lmztiles.s3.eu-west-1.amazonaws.com/Modern_Interiors_v41.3.4/1_Interiors/16x16/Theme_Sorter_Singles/6_Music_and_Sport/Music_and_Sport_Singles_38.png")</f>
        <v/>
      </c>
      <c r="C38" s="8" t="s">
        <v>1266</v>
      </c>
    </row>
    <row r="39" ht="33.75" customHeight="1">
      <c r="A39" s="16" t="s">
        <v>1268</v>
      </c>
      <c r="B39" s="16" t="str">
        <f>IMAGE("https://lmztiles.s3.eu-west-1.amazonaws.com/Modern_Interiors_v41.3.4/1_Interiors/16x16/Theme_Sorter_Singles/6_Music_and_Sport/Music_and_Sport_Singles_39.png")</f>
        <v/>
      </c>
      <c r="C39" s="8" t="s">
        <v>1266</v>
      </c>
    </row>
    <row r="40" ht="33.75" customHeight="1">
      <c r="A40" s="16" t="s">
        <v>1269</v>
      </c>
      <c r="B40" s="16" t="str">
        <f>IMAGE("https://lmztiles.s3.eu-west-1.amazonaws.com/Modern_Interiors_v41.3.4/1_Interiors/16x16/Theme_Sorter_Singles/6_Music_and_Sport/Music_and_Sport_Singles_40.png")</f>
        <v/>
      </c>
      <c r="C40" s="8" t="s">
        <v>1266</v>
      </c>
    </row>
    <row r="41" ht="33.75" customHeight="1">
      <c r="A41" s="16" t="s">
        <v>1270</v>
      </c>
      <c r="B41" s="16" t="str">
        <f>IMAGE("https://lmztiles.s3.eu-west-1.amazonaws.com/Modern_Interiors_v41.3.4/1_Interiors/16x16/Theme_Sorter_Singles/6_Music_and_Sport/Music_and_Sport_Singles_41.png")</f>
        <v/>
      </c>
      <c r="C41" s="8" t="s">
        <v>1266</v>
      </c>
    </row>
    <row r="42" ht="33.75" customHeight="1">
      <c r="A42" s="16" t="s">
        <v>1271</v>
      </c>
      <c r="B42" s="16" t="str">
        <f>IMAGE("https://lmztiles.s3.eu-west-1.amazonaws.com/Modern_Interiors_v41.3.4/1_Interiors/16x16/Theme_Sorter_Singles/6_Music_and_Sport/Music_and_Sport_Singles_42.png")</f>
        <v/>
      </c>
      <c r="C42" s="8" t="s">
        <v>1266</v>
      </c>
    </row>
    <row r="43" ht="33.75" customHeight="1">
      <c r="A43" s="16" t="s">
        <v>1272</v>
      </c>
      <c r="B43" s="16" t="str">
        <f>IMAGE("https://lmztiles.s3.eu-west-1.amazonaws.com/Modern_Interiors_v41.3.4/1_Interiors/16x16/Theme_Sorter_Singles/6_Music_and_Sport/Music_and_Sport_Singles_43.png")</f>
        <v/>
      </c>
      <c r="C43" s="8" t="s">
        <v>1273</v>
      </c>
    </row>
    <row r="44" ht="33.75" customHeight="1">
      <c r="A44" s="16" t="s">
        <v>1274</v>
      </c>
      <c r="B44" s="16" t="str">
        <f>IMAGE("https://lmztiles.s3.eu-west-1.amazonaws.com/Modern_Interiors_v41.3.4/1_Interiors/16x16/Theme_Sorter_Singles/6_Music_and_Sport/Music_and_Sport_Singles_44.png")</f>
        <v/>
      </c>
      <c r="C44" s="8" t="s">
        <v>1275</v>
      </c>
    </row>
    <row r="45" ht="33.75" customHeight="1">
      <c r="A45" s="16" t="s">
        <v>1276</v>
      </c>
      <c r="B45" s="16" t="str">
        <f>IMAGE("https://lmztiles.s3.eu-west-1.amazonaws.com/Modern_Interiors_v41.3.4/1_Interiors/16x16/Theme_Sorter_Singles/6_Music_and_Sport/Music_and_Sport_Singles_45.png")</f>
        <v/>
      </c>
      <c r="C45" s="8" t="s">
        <v>1277</v>
      </c>
    </row>
    <row r="46" ht="33.75" customHeight="1">
      <c r="A46" s="16" t="s">
        <v>1278</v>
      </c>
      <c r="B46" s="16" t="str">
        <f>IMAGE("https://lmztiles.s3.eu-west-1.amazonaws.com/Modern_Interiors_v41.3.4/1_Interiors/16x16/Theme_Sorter_Singles/6_Music_and_Sport/Music_and_Sport_Singles_46.png")</f>
        <v/>
      </c>
      <c r="C46" s="8" t="s">
        <v>1277</v>
      </c>
    </row>
    <row r="47" ht="33.75" customHeight="1">
      <c r="A47" s="16" t="s">
        <v>1279</v>
      </c>
      <c r="B47" s="16" t="str">
        <f>IMAGE("https://lmztiles.s3.eu-west-1.amazonaws.com/Modern_Interiors_v41.3.4/1_Interiors/16x16/Theme_Sorter_Singles/6_Music_and_Sport/Music_and_Sport_Singles_47.png")</f>
        <v/>
      </c>
      <c r="C47" s="8" t="s">
        <v>1277</v>
      </c>
    </row>
    <row r="48" ht="33.75" customHeight="1">
      <c r="A48" s="16" t="s">
        <v>1280</v>
      </c>
      <c r="B48" s="16" t="str">
        <f>IMAGE("https://lmztiles.s3.eu-west-1.amazonaws.com/Modern_Interiors_v41.3.4/1_Interiors/16x16/Theme_Sorter_Singles/6_Music_and_Sport/Music_and_Sport_Singles_48.png")</f>
        <v/>
      </c>
      <c r="C48" s="8" t="s">
        <v>1277</v>
      </c>
    </row>
    <row r="49" ht="33.75" customHeight="1">
      <c r="A49" s="16" t="s">
        <v>1281</v>
      </c>
      <c r="B49" s="16" t="str">
        <f>IMAGE("https://lmztiles.s3.eu-west-1.amazonaws.com/Modern_Interiors_v41.3.4/1_Interiors/16x16/Theme_Sorter_Singles/6_Music_and_Sport/Music_and_Sport_Singles_49.png")</f>
        <v/>
      </c>
      <c r="C49" s="8" t="s">
        <v>1277</v>
      </c>
    </row>
    <row r="50" ht="33.75" customHeight="1">
      <c r="A50" s="16" t="s">
        <v>1282</v>
      </c>
      <c r="B50" s="16" t="str">
        <f>IMAGE("https://lmztiles.s3.eu-west-1.amazonaws.com/Modern_Interiors_v41.3.4/1_Interiors/16x16/Theme_Sorter_Singles/6_Music_and_Sport/Music_and_Sport_Singles_50.png")</f>
        <v/>
      </c>
      <c r="C50" s="8" t="s">
        <v>1277</v>
      </c>
    </row>
    <row r="51" ht="33.75" customHeight="1">
      <c r="A51" s="16" t="s">
        <v>1283</v>
      </c>
      <c r="B51" s="16" t="str">
        <f>IMAGE("https://lmztiles.s3.eu-west-1.amazonaws.com/Modern_Interiors_v41.3.4/1_Interiors/16x16/Theme_Sorter_Singles/6_Music_and_Sport/Music_and_Sport_Singles_51.png")</f>
        <v/>
      </c>
      <c r="C51" s="8" t="s">
        <v>1284</v>
      </c>
    </row>
    <row r="52" ht="33.75" customHeight="1">
      <c r="A52" s="16" t="s">
        <v>1285</v>
      </c>
      <c r="B52" s="16" t="str">
        <f>IMAGE("https://lmztiles.s3.eu-west-1.amazonaws.com/Modern_Interiors_v41.3.4/1_Interiors/16x16/Theme_Sorter_Singles/6_Music_and_Sport/Music_and_Sport_Singles_52.png")</f>
        <v/>
      </c>
      <c r="C52" s="8" t="s">
        <v>1284</v>
      </c>
    </row>
    <row r="53" ht="33.75" customHeight="1">
      <c r="A53" s="16" t="s">
        <v>1286</v>
      </c>
      <c r="B53" s="16" t="str">
        <f>IMAGE("https://lmztiles.s3.eu-west-1.amazonaws.com/Modern_Interiors_v41.3.4/1_Interiors/16x16/Theme_Sorter_Singles/6_Music_and_Sport/Music_and_Sport_Singles_53.png")</f>
        <v/>
      </c>
      <c r="C53" s="8" t="s">
        <v>1284</v>
      </c>
    </row>
    <row r="54" ht="33.75" customHeight="1">
      <c r="A54" s="16" t="s">
        <v>1287</v>
      </c>
      <c r="B54" s="16" t="str">
        <f>IMAGE("https://lmztiles.s3.eu-west-1.amazonaws.com/Modern_Interiors_v41.3.4/1_Interiors/16x16/Theme_Sorter_Singles/6_Music_and_Sport/Music_and_Sport_Singles_54.png")</f>
        <v/>
      </c>
      <c r="C54" s="8" t="s">
        <v>1284</v>
      </c>
    </row>
    <row r="55" ht="33.75" customHeight="1">
      <c r="A55" s="16" t="s">
        <v>1288</v>
      </c>
      <c r="B55" s="16" t="str">
        <f>IMAGE("https://lmztiles.s3.eu-west-1.amazonaws.com/Modern_Interiors_v41.3.4/1_Interiors/16x16/Theme_Sorter_Singles/6_Music_and_Sport/Music_and_Sport_Singles_55.png")</f>
        <v/>
      </c>
      <c r="C55" s="8" t="s">
        <v>1284</v>
      </c>
    </row>
    <row r="56" ht="33.75" customHeight="1">
      <c r="A56" s="16" t="s">
        <v>1289</v>
      </c>
      <c r="B56" s="16" t="str">
        <f>IMAGE("https://lmztiles.s3.eu-west-1.amazonaws.com/Modern_Interiors_v41.3.4/1_Interiors/16x16/Theme_Sorter_Singles/6_Music_and_Sport/Music_and_Sport_Singles_56.png")</f>
        <v/>
      </c>
      <c r="C56" s="8" t="s">
        <v>1284</v>
      </c>
    </row>
    <row r="57" ht="33.75" customHeight="1">
      <c r="A57" s="16" t="s">
        <v>1290</v>
      </c>
      <c r="B57" s="16" t="str">
        <f>IMAGE("https://lmztiles.s3.eu-west-1.amazonaws.com/Modern_Interiors_v41.3.4/1_Interiors/16x16/Theme_Sorter_Singles/6_Music_and_Sport/Music_and_Sport_Singles_57.png")</f>
        <v/>
      </c>
      <c r="C57" s="8" t="s">
        <v>1291</v>
      </c>
    </row>
    <row r="58" ht="33.75" customHeight="1">
      <c r="A58" s="16" t="s">
        <v>1292</v>
      </c>
      <c r="B58" s="16" t="str">
        <f>IMAGE("https://lmztiles.s3.eu-west-1.amazonaws.com/Modern_Interiors_v41.3.4/1_Interiors/16x16/Theme_Sorter_Singles/6_Music_and_Sport/Music_and_Sport_Singles_58.png")</f>
        <v/>
      </c>
      <c r="C58" s="8" t="s">
        <v>1291</v>
      </c>
    </row>
    <row r="59" ht="33.75" customHeight="1">
      <c r="A59" s="16" t="s">
        <v>1293</v>
      </c>
      <c r="B59" s="16" t="str">
        <f>IMAGE("https://lmztiles.s3.eu-west-1.amazonaws.com/Modern_Interiors_v41.3.4/1_Interiors/16x16/Theme_Sorter_Singles/6_Music_and_Sport/Music_and_Sport_Singles_59.png")</f>
        <v/>
      </c>
      <c r="C59" s="8" t="s">
        <v>1291</v>
      </c>
    </row>
    <row r="60" ht="33.75" customHeight="1">
      <c r="A60" s="16" t="s">
        <v>1294</v>
      </c>
      <c r="B60" s="16" t="str">
        <f>IMAGE("https://lmztiles.s3.eu-west-1.amazonaws.com/Modern_Interiors_v41.3.4/1_Interiors/16x16/Theme_Sorter_Singles/6_Music_and_Sport/Music_and_Sport_Singles_60.png")</f>
        <v/>
      </c>
      <c r="C60" s="8" t="s">
        <v>1295</v>
      </c>
    </row>
    <row r="61" ht="33.75" customHeight="1">
      <c r="A61" s="16" t="s">
        <v>1296</v>
      </c>
      <c r="B61" s="16" t="str">
        <f>IMAGE("https://lmztiles.s3.eu-west-1.amazonaws.com/Modern_Interiors_v41.3.4/1_Interiors/16x16/Theme_Sorter_Singles/6_Music_and_Sport/Music_and_Sport_Singles_61.png")</f>
        <v/>
      </c>
      <c r="C61" s="8" t="s">
        <v>1297</v>
      </c>
    </row>
    <row r="62" ht="33.75" customHeight="1">
      <c r="A62" s="16" t="s">
        <v>1298</v>
      </c>
      <c r="B62" s="16" t="str">
        <f>IMAGE("https://lmztiles.s3.eu-west-1.amazonaws.com/Modern_Interiors_v41.3.4/1_Interiors/16x16/Theme_Sorter_Singles/6_Music_and_Sport/Music_and_Sport_Singles_62.png")</f>
        <v/>
      </c>
      <c r="C62" s="8" t="s">
        <v>1297</v>
      </c>
    </row>
    <row r="63" ht="33.75" customHeight="1">
      <c r="A63" s="16" t="s">
        <v>1299</v>
      </c>
      <c r="B63" s="16" t="str">
        <f>IMAGE("https://lmztiles.s3.eu-west-1.amazonaws.com/Modern_Interiors_v41.3.4/1_Interiors/16x16/Theme_Sorter_Singles/6_Music_and_Sport/Music_and_Sport_Singles_63.png")</f>
        <v/>
      </c>
      <c r="C63" s="8" t="s">
        <v>1297</v>
      </c>
    </row>
    <row r="64" ht="33.75" customHeight="1">
      <c r="A64" s="16" t="s">
        <v>1300</v>
      </c>
      <c r="B64" s="16" t="str">
        <f>IMAGE("https://lmztiles.s3.eu-west-1.amazonaws.com/Modern_Interiors_v41.3.4/1_Interiors/16x16/Theme_Sorter_Singles/6_Music_and_Sport/Music_and_Sport_Singles_64.png")</f>
        <v/>
      </c>
      <c r="C64" s="8" t="s">
        <v>1297</v>
      </c>
    </row>
    <row r="65" ht="33.75" customHeight="1">
      <c r="A65" s="16" t="s">
        <v>1301</v>
      </c>
      <c r="B65" s="16" t="str">
        <f>IMAGE("https://lmztiles.s3.eu-west-1.amazonaws.com/Modern_Interiors_v41.3.4/1_Interiors/16x16/Theme_Sorter_Singles/6_Music_and_Sport/Music_and_Sport_Singles_65.png")</f>
        <v/>
      </c>
      <c r="C65" s="8" t="s">
        <v>1297</v>
      </c>
    </row>
    <row r="66" ht="33.75" customHeight="1">
      <c r="A66" s="16" t="s">
        <v>1302</v>
      </c>
      <c r="B66" s="16" t="str">
        <f>IMAGE("https://lmztiles.s3.eu-west-1.amazonaws.com/Modern_Interiors_v41.3.4/1_Interiors/16x16/Theme_Sorter_Singles/6_Music_and_Sport/Music_and_Sport_Singles_66.png")</f>
        <v/>
      </c>
      <c r="C66" s="8" t="s">
        <v>1303</v>
      </c>
    </row>
    <row r="67" ht="33.75" customHeight="1">
      <c r="A67" s="16" t="s">
        <v>1304</v>
      </c>
      <c r="B67" s="16" t="str">
        <f>IMAGE("https://lmztiles.s3.eu-west-1.amazonaws.com/Modern_Interiors_v41.3.4/1_Interiors/16x16/Theme_Sorter_Singles/6_Music_and_Sport/Music_and_Sport_Singles_67.png")</f>
        <v/>
      </c>
      <c r="C67" s="8" t="s">
        <v>1303</v>
      </c>
    </row>
    <row r="68" ht="33.75" customHeight="1">
      <c r="A68" s="16" t="s">
        <v>1305</v>
      </c>
      <c r="B68" s="16" t="str">
        <f>IMAGE("https://lmztiles.s3.eu-west-1.amazonaws.com/Modern_Interiors_v41.3.4/1_Interiors/16x16/Theme_Sorter_Singles/6_Music_and_Sport/Music_and_Sport_Singles_68.png")</f>
        <v/>
      </c>
      <c r="C68" s="8" t="s">
        <v>1303</v>
      </c>
    </row>
    <row r="69" ht="33.75" customHeight="1">
      <c r="A69" s="16" t="s">
        <v>1306</v>
      </c>
      <c r="B69" s="16" t="str">
        <f>IMAGE("https://lmztiles.s3.eu-west-1.amazonaws.com/Modern_Interiors_v41.3.4/1_Interiors/16x16/Theme_Sorter_Singles/6_Music_and_Sport/Music_and_Sport_Singles_69.png")</f>
        <v/>
      </c>
      <c r="C69" s="8" t="s">
        <v>1307</v>
      </c>
    </row>
    <row r="70" ht="33.75" customHeight="1">
      <c r="A70" s="16" t="s">
        <v>1308</v>
      </c>
      <c r="B70" s="16" t="str">
        <f>IMAGE("https://lmztiles.s3.eu-west-1.amazonaws.com/Modern_Interiors_v41.3.4/1_Interiors/16x16/Theme_Sorter_Singles/6_Music_and_Sport/Music_and_Sport_Singles_70.png")</f>
        <v/>
      </c>
      <c r="C70" s="8" t="s">
        <v>1307</v>
      </c>
    </row>
    <row r="71" ht="33.75" customHeight="1">
      <c r="A71" s="16" t="s">
        <v>1309</v>
      </c>
      <c r="B71" s="16" t="str">
        <f>IMAGE("https://lmztiles.s3.eu-west-1.amazonaws.com/Modern_Interiors_v41.3.4/1_Interiors/16x16/Theme_Sorter_Singles/6_Music_and_Sport/Music_and_Sport_Singles_71.png")</f>
        <v/>
      </c>
      <c r="C71" s="8" t="s">
        <v>1307</v>
      </c>
    </row>
    <row r="72" ht="33.75" customHeight="1">
      <c r="A72" s="16" t="s">
        <v>1310</v>
      </c>
      <c r="B72" s="16" t="str">
        <f>IMAGE("https://lmztiles.s3.eu-west-1.amazonaws.com/Modern_Interiors_v41.3.4/1_Interiors/16x16/Theme_Sorter_Singles/6_Music_and_Sport/Music_and_Sport_Singles_72.png")</f>
        <v/>
      </c>
      <c r="C72" s="8" t="s">
        <v>1307</v>
      </c>
    </row>
    <row r="73" ht="33.75" customHeight="1">
      <c r="A73" s="16" t="s">
        <v>1311</v>
      </c>
      <c r="B73" s="16" t="str">
        <f>IMAGE("https://lmztiles.s3.eu-west-1.amazonaws.com/Modern_Interiors_v41.3.4/1_Interiors/16x16/Theme_Sorter_Singles/6_Music_and_Sport/Music_and_Sport_Singles_76.png")</f>
        <v/>
      </c>
      <c r="C73" s="8" t="s">
        <v>1312</v>
      </c>
    </row>
    <row r="74" ht="33.75" customHeight="1">
      <c r="A74" s="16" t="s">
        <v>1313</v>
      </c>
      <c r="B74" s="16" t="str">
        <f>IMAGE("https://lmztiles.s3.eu-west-1.amazonaws.com/Modern_Interiors_v41.3.4/1_Interiors/16x16/Theme_Sorter_Singles/6_Music_and_Sport/Music_and_Sport_Singles_77.png")</f>
        <v/>
      </c>
      <c r="C74" s="8" t="s">
        <v>1314</v>
      </c>
    </row>
    <row r="75" ht="33.75" customHeight="1">
      <c r="A75" s="16" t="s">
        <v>1315</v>
      </c>
      <c r="B75" s="16" t="str">
        <f>IMAGE("https://lmztiles.s3.eu-west-1.amazonaws.com/Modern_Interiors_v41.3.4/1_Interiors/16x16/Theme_Sorter_Singles/6_Music_and_Sport/Music_and_Sport_Singles_78.png")</f>
        <v/>
      </c>
      <c r="C75" s="8" t="s">
        <v>1314</v>
      </c>
    </row>
    <row r="76" ht="33.75" customHeight="1">
      <c r="A76" s="16" t="s">
        <v>1316</v>
      </c>
      <c r="B76" s="16" t="str">
        <f>IMAGE("https://lmztiles.s3.eu-west-1.amazonaws.com/Modern_Interiors_v41.3.4/1_Interiors/16x16/Theme_Sorter_Singles/6_Music_and_Sport/Music_and_Sport_Singles_79.png")</f>
        <v/>
      </c>
      <c r="C76" s="8" t="s">
        <v>1314</v>
      </c>
    </row>
    <row r="77" ht="33.75" customHeight="1">
      <c r="A77" s="16" t="s">
        <v>1317</v>
      </c>
      <c r="B77" s="16" t="str">
        <f>IMAGE("https://lmztiles.s3.eu-west-1.amazonaws.com/Modern_Interiors_v41.3.4/1_Interiors/16x16/Theme_Sorter_Singles/6_Music_and_Sport/Music_and_Sport_Singles_80.png")</f>
        <v/>
      </c>
      <c r="C77" s="8" t="s">
        <v>1318</v>
      </c>
    </row>
    <row r="78" ht="33.75" customHeight="1">
      <c r="A78" s="16" t="s">
        <v>1319</v>
      </c>
      <c r="B78" s="16" t="str">
        <f>IMAGE("https://lmztiles.s3.eu-west-1.amazonaws.com/Modern_Interiors_v41.3.4/1_Interiors/16x16/Theme_Sorter_Singles/6_Music_and_Sport/Music_and_Sport_Singles_81.png")</f>
        <v/>
      </c>
      <c r="C78" s="8" t="s">
        <v>1318</v>
      </c>
    </row>
    <row r="79" ht="33.75" customHeight="1">
      <c r="A79" s="16" t="s">
        <v>1320</v>
      </c>
      <c r="B79" s="16" t="str">
        <f>IMAGE("https://lmztiles.s3.eu-west-1.amazonaws.com/Modern_Interiors_v41.3.4/1_Interiors/16x16/Theme_Sorter_Singles/6_Music_and_Sport/Music_and_Sport_Singles_82.png")</f>
        <v/>
      </c>
      <c r="C79" s="8" t="s">
        <v>1318</v>
      </c>
    </row>
    <row r="80" ht="33.75" customHeight="1">
      <c r="A80" s="16" t="s">
        <v>1321</v>
      </c>
      <c r="B80" s="16" t="str">
        <f>IMAGE("https://lmztiles.s3.eu-west-1.amazonaws.com/Modern_Interiors_v41.3.4/1_Interiors/16x16/Theme_Sorter_Singles/6_Music_and_Sport/Music_and_Sport_Singles_83.png")</f>
        <v/>
      </c>
      <c r="C80" s="8" t="s">
        <v>1322</v>
      </c>
    </row>
    <row r="81" ht="33.75" customHeight="1">
      <c r="A81" s="16" t="s">
        <v>1323</v>
      </c>
      <c r="B81" s="16" t="str">
        <f>IMAGE("https://lmztiles.s3.eu-west-1.amazonaws.com/Modern_Interiors_v41.3.4/1_Interiors/16x16/Theme_Sorter_Singles/6_Music_and_Sport/Music_and_Sport_Singles_84.png")</f>
        <v/>
      </c>
      <c r="C81" s="8" t="s">
        <v>1324</v>
      </c>
    </row>
    <row r="82" ht="33.75" customHeight="1">
      <c r="A82" s="16" t="s">
        <v>1325</v>
      </c>
      <c r="B82" s="16" t="str">
        <f>IMAGE("https://lmztiles.s3.eu-west-1.amazonaws.com/Modern_Interiors_v41.3.4/1_Interiors/16x16/Theme_Sorter_Singles/6_Music_and_Sport/Music_and_Sport_Singles_85.png")</f>
        <v/>
      </c>
      <c r="C82" s="8" t="s">
        <v>1322</v>
      </c>
    </row>
    <row r="83" ht="33.75" customHeight="1">
      <c r="A83" s="16" t="s">
        <v>1326</v>
      </c>
      <c r="B83" s="16" t="str">
        <f>IMAGE("https://lmztiles.s3.eu-west-1.amazonaws.com/Modern_Interiors_v41.3.4/1_Interiors/16x16/Theme_Sorter_Singles/6_Music_and_Sport/Music_and_Sport_Singles_86.png")</f>
        <v/>
      </c>
      <c r="C83" s="8" t="s">
        <v>1327</v>
      </c>
    </row>
    <row r="84" ht="33.75" customHeight="1">
      <c r="A84" s="16" t="s">
        <v>1328</v>
      </c>
      <c r="B84" s="16" t="str">
        <f>IMAGE("https://lmztiles.s3.eu-west-1.amazonaws.com/Modern_Interiors_v41.3.4/1_Interiors/16x16/Theme_Sorter_Singles/6_Music_and_Sport/Music_and_Sport_Singles_87.png")</f>
        <v/>
      </c>
      <c r="C84" s="8" t="s">
        <v>1329</v>
      </c>
    </row>
    <row r="85" ht="33.75" customHeight="1">
      <c r="A85" s="16" t="s">
        <v>1330</v>
      </c>
      <c r="B85" s="16" t="str">
        <f>IMAGE("https://lmztiles.s3.eu-west-1.amazonaws.com/Modern_Interiors_v41.3.4/1_Interiors/16x16/Theme_Sorter_Singles/6_Music_and_Sport/Music_and_Sport_Singles_88.png")</f>
        <v/>
      </c>
      <c r="C85" s="8" t="s">
        <v>1331</v>
      </c>
    </row>
    <row r="86" ht="33.75" customHeight="1">
      <c r="A86" s="16" t="s">
        <v>1332</v>
      </c>
      <c r="B86" s="16" t="str">
        <f>IMAGE("https://lmztiles.s3.eu-west-1.amazonaws.com/Modern_Interiors_v41.3.4/1_Interiors/16x16/Theme_Sorter_Singles/6_Music_and_Sport/Music_and_Sport_Singles_89.png")</f>
        <v/>
      </c>
      <c r="C86" s="8" t="s">
        <v>1333</v>
      </c>
    </row>
    <row r="87" ht="33.75" customHeight="1">
      <c r="A87" s="16" t="s">
        <v>1334</v>
      </c>
      <c r="B87" s="16" t="str">
        <f>IMAGE("https://lmztiles.s3.eu-west-1.amazonaws.com/Modern_Interiors_v41.3.4/1_Interiors/16x16/Theme_Sorter_Singles/6_Music_and_Sport/Music_and_Sport_Singles_90.png")</f>
        <v/>
      </c>
      <c r="C87" s="8" t="s">
        <v>1335</v>
      </c>
    </row>
    <row r="88" ht="33.75" customHeight="1">
      <c r="A88" s="16" t="s">
        <v>1336</v>
      </c>
      <c r="B88" s="16" t="str">
        <f>IMAGE("https://lmztiles.s3.eu-west-1.amazonaws.com/Modern_Interiors_v41.3.4/1_Interiors/16x16/Theme_Sorter_Singles/6_Music_and_Sport/Music_and_Sport_Singles_91.png")</f>
        <v/>
      </c>
      <c r="C88" s="8" t="s">
        <v>1327</v>
      </c>
    </row>
    <row r="89" ht="33.75" customHeight="1">
      <c r="A89" s="16" t="s">
        <v>1337</v>
      </c>
      <c r="B89" s="16" t="str">
        <f>IMAGE("https://lmztiles.s3.eu-west-1.amazonaws.com/Modern_Interiors_v41.3.4/1_Interiors/16x16/Theme_Sorter_Singles/6_Music_and_Sport/Music_and_Sport_Singles_92.png")</f>
        <v/>
      </c>
      <c r="C89" s="8" t="s">
        <v>1329</v>
      </c>
    </row>
    <row r="90" ht="33.75" customHeight="1">
      <c r="A90" s="16" t="s">
        <v>1338</v>
      </c>
      <c r="B90" s="16" t="str">
        <f>IMAGE("https://lmztiles.s3.eu-west-1.amazonaws.com/Modern_Interiors_v41.3.4/1_Interiors/16x16/Theme_Sorter_Singles/6_Music_and_Sport/Music_and_Sport_Singles_93.png")</f>
        <v/>
      </c>
      <c r="C90" s="8" t="s">
        <v>1331</v>
      </c>
    </row>
    <row r="91" ht="33.75" customHeight="1">
      <c r="A91" s="16" t="s">
        <v>1339</v>
      </c>
      <c r="B91" s="16" t="str">
        <f>IMAGE("https://lmztiles.s3.eu-west-1.amazonaws.com/Modern_Interiors_v41.3.4/1_Interiors/16x16/Theme_Sorter_Singles/6_Music_and_Sport/Music_and_Sport_Singles_94.png")</f>
        <v/>
      </c>
      <c r="C91" s="8" t="s">
        <v>1333</v>
      </c>
    </row>
    <row r="92" ht="33.75" customHeight="1">
      <c r="A92" s="16" t="s">
        <v>1340</v>
      </c>
      <c r="B92" s="16" t="str">
        <f>IMAGE("https://lmztiles.s3.eu-west-1.amazonaws.com/Modern_Interiors_v41.3.4/1_Interiors/16x16/Theme_Sorter_Singles/6_Music_and_Sport/Music_and_Sport_Singles_95.png")</f>
        <v/>
      </c>
      <c r="C92" s="8" t="s">
        <v>1335</v>
      </c>
    </row>
    <row r="93" ht="33.75" customHeight="1">
      <c r="A93" s="16" t="s">
        <v>1341</v>
      </c>
      <c r="B93" s="16" t="str">
        <f>IMAGE("https://lmztiles.s3.eu-west-1.amazonaws.com/Modern_Interiors_v41.3.4/1_Interiors/16x16/Theme_Sorter_Singles/6_Music_and_Sport/Music_and_Sport_Singles_96.png")</f>
        <v/>
      </c>
    </row>
    <row r="94" ht="33.75" customHeight="1">
      <c r="A94" s="16" t="s">
        <v>1342</v>
      </c>
      <c r="B94" s="16" t="str">
        <f>IMAGE("https://lmztiles.s3.eu-west-1.amazonaws.com/Modern_Interiors_v41.3.4/1_Interiors/16x16/Theme_Sorter_Singles/6_Music_and_Sport/Music_and_Sport_Singles_97.png")</f>
        <v/>
      </c>
    </row>
    <row r="95" ht="33.75" customHeight="1">
      <c r="A95" s="16" t="s">
        <v>1343</v>
      </c>
      <c r="B95" s="16" t="str">
        <f>IMAGE("https://lmztiles.s3.eu-west-1.amazonaws.com/Modern_Interiors_v41.3.4/1_Interiors/16x16/Theme_Sorter_Singles/6_Music_and_Sport/Music_and_Sport_Singles_98.png")</f>
        <v/>
      </c>
    </row>
    <row r="96" ht="33.75" customHeight="1">
      <c r="A96" s="16" t="s">
        <v>1344</v>
      </c>
      <c r="B96" s="16" t="str">
        <f>IMAGE("https://lmztiles.s3.eu-west-1.amazonaws.com/Modern_Interiors_v41.3.4/1_Interiors/16x16/Theme_Sorter_Singles/6_Music_and_Sport/Music_and_Sport_Singles_99.png")</f>
        <v/>
      </c>
    </row>
    <row r="97" ht="33.75" customHeight="1">
      <c r="A97" s="16" t="s">
        <v>1345</v>
      </c>
      <c r="B97" s="16" t="str">
        <f>IMAGE("https://lmztiles.s3.eu-west-1.amazonaws.com/Modern_Interiors_v41.3.4/1_Interiors/16x16/Theme_Sorter_Singles/6_Music_and_Sport/Music_and_Sport_Singles_100.png")</f>
        <v/>
      </c>
    </row>
    <row r="98" ht="33.75" customHeight="1">
      <c r="A98" s="16" t="s">
        <v>1346</v>
      </c>
      <c r="B98" s="16" t="str">
        <f>IMAGE("https://lmztiles.s3.eu-west-1.amazonaws.com/Modern_Interiors_v41.3.4/1_Interiors/16x16/Theme_Sorter_Singles/6_Music_and_Sport/Music_and_Sport_Singles_101.png")</f>
        <v/>
      </c>
    </row>
    <row r="99" ht="33.75" customHeight="1">
      <c r="A99" s="16" t="s">
        <v>1347</v>
      </c>
      <c r="B99" s="16" t="str">
        <f>IMAGE("https://lmztiles.s3.eu-west-1.amazonaws.com/Modern_Interiors_v41.3.4/1_Interiors/16x16/Theme_Sorter_Singles/6_Music_and_Sport/Music_and_Sport_Singles_102.png")</f>
        <v/>
      </c>
    </row>
    <row r="100" ht="33.75" customHeight="1">
      <c r="A100" s="16" t="s">
        <v>1348</v>
      </c>
      <c r="B100" s="16" t="str">
        <f>IMAGE("https://lmztiles.s3.eu-west-1.amazonaws.com/Modern_Interiors_v41.3.4/1_Interiors/16x16/Theme_Sorter_Singles/6_Music_and_Sport/Music_and_Sport_Singles_103.png")</f>
        <v/>
      </c>
    </row>
    <row r="101" ht="33.75" customHeight="1">
      <c r="A101" s="16" t="s">
        <v>1349</v>
      </c>
      <c r="B101" s="16" t="str">
        <f>IMAGE("https://lmztiles.s3.eu-west-1.amazonaws.com/Modern_Interiors_v41.3.4/1_Interiors/16x16/Theme_Sorter_Singles/6_Music_and_Sport/Music_and_Sport_Singles_104.png")</f>
        <v/>
      </c>
    </row>
    <row r="102" ht="33.75" customHeight="1">
      <c r="A102" s="16" t="s">
        <v>1350</v>
      </c>
      <c r="B102" s="16" t="str">
        <f>IMAGE("https://lmztiles.s3.eu-west-1.amazonaws.com/Modern_Interiors_v41.3.4/1_Interiors/16x16/Theme_Sorter_Singles/6_Music_and_Sport/Music_and_Sport_Singles_105.png")</f>
        <v/>
      </c>
    </row>
    <row r="103" ht="33.75" customHeight="1">
      <c r="A103" s="16" t="s">
        <v>1351</v>
      </c>
      <c r="B103" s="16" t="str">
        <f>IMAGE("https://lmztiles.s3.eu-west-1.amazonaws.com/Modern_Interiors_v41.3.4/1_Interiors/16x16/Theme_Sorter_Singles/6_Music_and_Sport/Music_and_Sport_Singles_106.png")</f>
        <v/>
      </c>
    </row>
    <row r="104" ht="33.75" customHeight="1">
      <c r="A104" s="16" t="s">
        <v>1352</v>
      </c>
      <c r="B104" s="16" t="str">
        <f>IMAGE("https://lmztiles.s3.eu-west-1.amazonaws.com/Modern_Interiors_v41.3.4/1_Interiors/16x16/Theme_Sorter_Singles/6_Music_and_Sport/Music_and_Sport_Singles_107.png")</f>
        <v/>
      </c>
    </row>
    <row r="105" ht="33.75" customHeight="1">
      <c r="A105" s="16" t="s">
        <v>1353</v>
      </c>
      <c r="B105" s="16" t="str">
        <f>IMAGE("https://lmztiles.s3.eu-west-1.amazonaws.com/Modern_Interiors_v41.3.4/1_Interiors/16x16/Theme_Sorter_Singles/6_Music_and_Sport/Music_and_Sport_Singles_108.png")</f>
        <v/>
      </c>
      <c r="C105" s="8" t="s">
        <v>1354</v>
      </c>
    </row>
    <row r="106" ht="33.75" customHeight="1">
      <c r="A106" s="16" t="s">
        <v>1355</v>
      </c>
      <c r="B106" s="16" t="str">
        <f>IMAGE("https://lmztiles.s3.eu-west-1.amazonaws.com/Modern_Interiors_v41.3.4/1_Interiors/16x16/Theme_Sorter_Singles/6_Music_and_Sport/Music_and_Sport_Singles_109.png")</f>
        <v/>
      </c>
      <c r="C106" s="8" t="s">
        <v>1354</v>
      </c>
    </row>
    <row r="107" ht="33.75" customHeight="1">
      <c r="A107" s="16" t="s">
        <v>1356</v>
      </c>
      <c r="B107" s="16" t="str">
        <f>IMAGE("https://lmztiles.s3.eu-west-1.amazonaws.com/Modern_Interiors_v41.3.4/1_Interiors/16x16/Theme_Sorter_Singles/6_Music_and_Sport/Music_and_Sport_Singles_110.png")</f>
        <v/>
      </c>
      <c r="C107" s="8" t="s">
        <v>1354</v>
      </c>
    </row>
    <row r="108" ht="33.75" customHeight="1">
      <c r="A108" s="16" t="s">
        <v>1357</v>
      </c>
      <c r="B108" s="16" t="str">
        <f>IMAGE("https://lmztiles.s3.eu-west-1.amazonaws.com/Modern_Interiors_v41.3.4/1_Interiors/16x16/Theme_Sorter_Singles/6_Music_and_Sport/Music_and_Sport_Singles_111.png")</f>
        <v/>
      </c>
      <c r="C108" s="8" t="s">
        <v>1358</v>
      </c>
    </row>
    <row r="109" ht="33.75" customHeight="1">
      <c r="A109" s="16" t="s">
        <v>1359</v>
      </c>
      <c r="B109" s="16" t="str">
        <f>IMAGE("https://lmztiles.s3.eu-west-1.amazonaws.com/Modern_Interiors_v41.3.4/1_Interiors/16x16/Theme_Sorter_Singles/6_Music_and_Sport/Music_and_Sport_Singles_112.png")</f>
        <v/>
      </c>
      <c r="C109" s="8" t="s">
        <v>1358</v>
      </c>
    </row>
    <row r="110" ht="33.75" customHeight="1">
      <c r="A110" s="16" t="s">
        <v>1360</v>
      </c>
      <c r="B110" s="16" t="str">
        <f>IMAGE("https://lmztiles.s3.eu-west-1.amazonaws.com/Modern_Interiors_v41.3.4/1_Interiors/16x16/Theme_Sorter_Singles/6_Music_and_Sport/Music_and_Sport_Singles_113.png")</f>
        <v/>
      </c>
      <c r="C110" s="8" t="s">
        <v>1358</v>
      </c>
    </row>
    <row r="111" ht="33.75" customHeight="1">
      <c r="A111" s="16" t="s">
        <v>1361</v>
      </c>
      <c r="B111" s="16" t="str">
        <f>IMAGE("https://lmztiles.s3.eu-west-1.amazonaws.com/Modern_Interiors_v41.3.4/1_Interiors/16x16/Theme_Sorter_Singles/6_Music_and_Sport/Music_and_Sport_Singles_114.png")</f>
        <v/>
      </c>
      <c r="C111" s="8" t="s">
        <v>1362</v>
      </c>
    </row>
    <row r="112" ht="33.75" customHeight="1">
      <c r="A112" s="16" t="s">
        <v>1363</v>
      </c>
      <c r="B112" s="16" t="str">
        <f>IMAGE("https://lmztiles.s3.eu-west-1.amazonaws.com/Modern_Interiors_v41.3.4/1_Interiors/16x16/Theme_Sorter_Singles/6_Music_and_Sport/Music_and_Sport_Singles_115.png")</f>
        <v/>
      </c>
      <c r="C112" s="8" t="s">
        <v>1362</v>
      </c>
    </row>
    <row r="113" ht="33.75" customHeight="1">
      <c r="A113" s="16" t="s">
        <v>1364</v>
      </c>
      <c r="B113" s="16" t="str">
        <f>IMAGE("https://lmztiles.s3.eu-west-1.amazonaws.com/Modern_Interiors_v41.3.4/1_Interiors/16x16/Theme_Sorter_Singles/6_Music_and_Sport/Music_and_Sport_Singles_116.png")</f>
        <v/>
      </c>
      <c r="C113" s="8" t="s">
        <v>1362</v>
      </c>
    </row>
    <row r="114" ht="33.75" customHeight="1">
      <c r="A114" s="16" t="s">
        <v>1365</v>
      </c>
      <c r="B114" s="16" t="str">
        <f>IMAGE("https://lmztiles.s3.eu-west-1.amazonaws.com/Modern_Interiors_v41.3.4/1_Interiors/16x16/Theme_Sorter_Singles/6_Music_and_Sport/Music_and_Sport_Singles_117.png")</f>
        <v/>
      </c>
    </row>
    <row r="115" ht="33.75" customHeight="1">
      <c r="A115" s="16" t="s">
        <v>1366</v>
      </c>
      <c r="B115" s="16" t="str">
        <f>IMAGE("https://lmztiles.s3.eu-west-1.amazonaws.com/Modern_Interiors_v41.3.4/1_Interiors/16x16/Theme_Sorter_Singles/6_Music_and_Sport/Music_and_Sport_Singles_118.png")</f>
        <v/>
      </c>
    </row>
    <row r="116" ht="33.75" customHeight="1">
      <c r="A116" s="16" t="s">
        <v>1367</v>
      </c>
      <c r="B116" s="16" t="str">
        <f>IMAGE("https://lmztiles.s3.eu-west-1.amazonaws.com/Modern_Interiors_v41.3.4/1_Interiors/16x16/Theme_Sorter_Singles/6_Music_and_Sport/Music_and_Sport_Singles_119.png")</f>
        <v/>
      </c>
    </row>
    <row r="117" ht="33.75" customHeight="1">
      <c r="A117" s="16" t="s">
        <v>1368</v>
      </c>
      <c r="B117" s="16" t="str">
        <f>IMAGE("https://lmztiles.s3.eu-west-1.amazonaws.com/Modern_Interiors_v41.3.4/1_Interiors/16x16/Theme_Sorter_Singles/6_Music_and_Sport/Music_and_Sport_Singles_120.png")</f>
        <v/>
      </c>
    </row>
    <row r="118" ht="33.75" customHeight="1">
      <c r="A118" s="16" t="s">
        <v>1369</v>
      </c>
      <c r="B118" s="16" t="str">
        <f>IMAGE("https://lmztiles.s3.eu-west-1.amazonaws.com/Modern_Interiors_v41.3.4/1_Interiors/16x16/Theme_Sorter_Singles/6_Music_and_Sport/Music_and_Sport_Singles_121.png")</f>
        <v/>
      </c>
    </row>
    <row r="119" ht="33.75" customHeight="1">
      <c r="A119" s="16" t="s">
        <v>1370</v>
      </c>
      <c r="B119" s="16" t="str">
        <f>IMAGE("https://lmztiles.s3.eu-west-1.amazonaws.com/Modern_Interiors_v41.3.4/1_Interiors/16x16/Theme_Sorter_Singles/6_Music_and_Sport/Music_and_Sport_Singles_122.png")</f>
        <v/>
      </c>
    </row>
    <row r="120" ht="33.75" customHeight="1">
      <c r="A120" s="16" t="s">
        <v>1371</v>
      </c>
      <c r="B120" s="16" t="str">
        <f>IMAGE("https://lmztiles.s3.eu-west-1.amazonaws.com/Modern_Interiors_v41.3.4/1_Interiors/16x16/Theme_Sorter_Singles/6_Music_and_Sport/Music_and_Sport_Singles_123.png")</f>
        <v/>
      </c>
    </row>
    <row r="121" ht="33.75" customHeight="1">
      <c r="A121" s="16" t="s">
        <v>1372</v>
      </c>
      <c r="B121" s="16" t="str">
        <f>IMAGE("https://lmztiles.s3.eu-west-1.amazonaws.com/Modern_Interiors_v41.3.4/1_Interiors/16x16/Theme_Sorter_Singles/6_Music_and_Sport/Music_and_Sport_Singles_124.png")</f>
        <v/>
      </c>
    </row>
    <row r="122" ht="33.75" customHeight="1">
      <c r="A122" s="16" t="s">
        <v>1373</v>
      </c>
      <c r="B122" s="16" t="str">
        <f>IMAGE("https://lmztiles.s3.eu-west-1.amazonaws.com/Modern_Interiors_v41.3.4/1_Interiors/16x16/Theme_Sorter_Singles/6_Music_and_Sport/Music_and_Sport_Singles_125.png")</f>
        <v/>
      </c>
    </row>
    <row r="123" ht="33.75" customHeight="1">
      <c r="A123" s="16" t="s">
        <v>1374</v>
      </c>
      <c r="B123" s="16" t="str">
        <f>IMAGE("https://lmztiles.s3.eu-west-1.amazonaws.com/Modern_Interiors_v41.3.4/1_Interiors/16x16/Theme_Sorter_Singles/6_Music_and_Sport/Music_and_Sport_Singles_126.png")</f>
        <v/>
      </c>
    </row>
    <row r="124" ht="33.75" customHeight="1">
      <c r="A124" s="16" t="s">
        <v>1375</v>
      </c>
      <c r="B124" s="16" t="str">
        <f>IMAGE("https://lmztiles.s3.eu-west-1.amazonaws.com/Modern_Interiors_v41.3.4/1_Interiors/16x16/Theme_Sorter_Singles/6_Music_and_Sport/Music_and_Sport_Singles_127.png")</f>
        <v/>
      </c>
    </row>
    <row r="125" ht="33.75" customHeight="1">
      <c r="A125" s="16" t="s">
        <v>1376</v>
      </c>
      <c r="B125" s="16" t="str">
        <f>IMAGE("https://lmztiles.s3.eu-west-1.amazonaws.com/Modern_Interiors_v41.3.4/1_Interiors/16x16/Theme_Sorter_Singles/6_Music_and_Sport/Music_and_Sport_Singles_128.png")</f>
        <v/>
      </c>
    </row>
    <row r="126" ht="33.75" customHeight="1">
      <c r="A126" s="16" t="s">
        <v>1377</v>
      </c>
      <c r="B126" s="16" t="str">
        <f>IMAGE("https://lmztiles.s3.eu-west-1.amazonaws.com/Modern_Interiors_v41.3.4/1_Interiors/16x16/Theme_Sorter_Singles/6_Music_and_Sport/Music_and_Sport_Singles_129.png")</f>
        <v/>
      </c>
      <c r="C126" s="8" t="s">
        <v>1354</v>
      </c>
    </row>
    <row r="127" ht="33.75" customHeight="1">
      <c r="A127" s="16" t="s">
        <v>1378</v>
      </c>
      <c r="B127" s="16" t="str">
        <f>IMAGE("https://lmztiles.s3.eu-west-1.amazonaws.com/Modern_Interiors_v41.3.4/1_Interiors/16x16/Theme_Sorter_Singles/6_Music_and_Sport/Music_and_Sport_Singles_130.png")</f>
        <v/>
      </c>
      <c r="C127" s="8" t="s">
        <v>1362</v>
      </c>
    </row>
    <row r="128" ht="33.75" customHeight="1">
      <c r="A128" s="16" t="s">
        <v>1379</v>
      </c>
      <c r="B128" s="16" t="str">
        <f>IMAGE("https://lmztiles.s3.eu-west-1.amazonaws.com/Modern_Interiors_v41.3.4/1_Interiors/16x16/Theme_Sorter_Singles/6_Music_and_Sport/Music_and_Sport_Singles_131.png")</f>
        <v/>
      </c>
      <c r="C128" s="8" t="s">
        <v>1358</v>
      </c>
    </row>
    <row r="129" ht="33.75" customHeight="1">
      <c r="A129" s="16" t="s">
        <v>1380</v>
      </c>
      <c r="B129" s="16" t="str">
        <f>IMAGE("https://lmztiles.s3.eu-west-1.amazonaws.com/Modern_Interiors_v41.3.4/1_Interiors/16x16/Theme_Sorter_Singles/6_Music_and_Sport/Music_and_Sport_Singles_132.png")</f>
        <v/>
      </c>
      <c r="C129" s="8" t="s">
        <v>1381</v>
      </c>
    </row>
    <row r="130" ht="33.75" customHeight="1">
      <c r="A130" s="16" t="s">
        <v>1382</v>
      </c>
      <c r="B130" s="16" t="str">
        <f>IMAGE("https://lmztiles.s3.eu-west-1.amazonaws.com/Modern_Interiors_v41.3.4/1_Interiors/16x16/Theme_Sorter_Singles/6_Music_and_Sport/Music_and_Sport_Singles_133.png")</f>
        <v/>
      </c>
      <c r="C130" s="8" t="s">
        <v>1381</v>
      </c>
    </row>
    <row r="131" ht="33.75" customHeight="1">
      <c r="A131" s="16" t="s">
        <v>1383</v>
      </c>
      <c r="B131" s="16" t="str">
        <f>IMAGE("https://lmztiles.s3.eu-west-1.amazonaws.com/Modern_Interiors_v41.3.4/1_Interiors/16x16/Theme_Sorter_Singles/6_Music_and_Sport/Music_and_Sport_Singles_134.png")</f>
        <v/>
      </c>
      <c r="C131" s="8" t="s">
        <v>1381</v>
      </c>
    </row>
    <row r="132" ht="33.75" customHeight="1">
      <c r="A132" s="16" t="s">
        <v>1384</v>
      </c>
      <c r="B132" s="16" t="str">
        <f>IMAGE("https://lmztiles.s3.eu-west-1.amazonaws.com/Modern_Interiors_v41.3.4/1_Interiors/16x16/Theme_Sorter_Singles/6_Music_and_Sport/Music_and_Sport_Singles_135.png")</f>
        <v/>
      </c>
      <c r="C132" s="8" t="s">
        <v>1385</v>
      </c>
    </row>
    <row r="133" ht="33.75" customHeight="1">
      <c r="A133" s="16" t="s">
        <v>1386</v>
      </c>
      <c r="B133" s="16" t="str">
        <f>IMAGE("https://lmztiles.s3.eu-west-1.amazonaws.com/Modern_Interiors_v41.3.4/1_Interiors/16x16/Theme_Sorter_Singles/6_Music_and_Sport/Music_and_Sport_Singles_136.png")</f>
        <v/>
      </c>
      <c r="C133" s="8" t="s">
        <v>1385</v>
      </c>
    </row>
    <row r="134" ht="33.75" customHeight="1">
      <c r="A134" s="16" t="s">
        <v>1387</v>
      </c>
      <c r="B134" s="16" t="str">
        <f>IMAGE("https://lmztiles.s3.eu-west-1.amazonaws.com/Modern_Interiors_v41.3.4/1_Interiors/16x16/Theme_Sorter_Singles/6_Music_and_Sport/Music_and_Sport_Singles_137.png")</f>
        <v/>
      </c>
      <c r="C134" s="8" t="s">
        <v>1385</v>
      </c>
    </row>
    <row r="135" ht="33.75" customHeight="1">
      <c r="A135" s="16" t="s">
        <v>1388</v>
      </c>
      <c r="B135" s="16" t="str">
        <f>IMAGE("https://lmztiles.s3.eu-west-1.amazonaws.com/Modern_Interiors_v41.3.4/1_Interiors/16x16/Theme_Sorter_Singles/6_Music_and_Sport/Music_and_Sport_Singles_138.png")</f>
        <v/>
      </c>
      <c r="C135" s="8" t="s">
        <v>1389</v>
      </c>
    </row>
    <row r="136" ht="33.75" customHeight="1">
      <c r="A136" s="16" t="s">
        <v>1390</v>
      </c>
      <c r="B136" s="16" t="str">
        <f>IMAGE("https://lmztiles.s3.eu-west-1.amazonaws.com/Modern_Interiors_v41.3.4/1_Interiors/16x16/Theme_Sorter_Singles/6_Music_and_Sport/Music_and_Sport_Singles_139.png")</f>
        <v/>
      </c>
      <c r="C136" s="8" t="s">
        <v>1389</v>
      </c>
    </row>
    <row r="137" ht="33.75" customHeight="1">
      <c r="A137" s="16" t="s">
        <v>1391</v>
      </c>
      <c r="B137" s="16" t="str">
        <f>IMAGE("https://lmztiles.s3.eu-west-1.amazonaws.com/Modern_Interiors_v41.3.4/1_Interiors/16x16/Theme_Sorter_Singles/6_Music_and_Sport/Music_and_Sport_Singles_140.png")</f>
        <v/>
      </c>
      <c r="C137" s="8" t="s">
        <v>1389</v>
      </c>
    </row>
    <row r="138" ht="33.75" customHeight="1">
      <c r="A138" s="16" t="s">
        <v>1392</v>
      </c>
      <c r="B138" s="16" t="str">
        <f>IMAGE("https://lmztiles.s3.eu-west-1.amazonaws.com/Modern_Interiors_v41.3.4/1_Interiors/16x16/Theme_Sorter_Singles/6_Music_and_Sport/Music_and_Sport_Singles_141.png")</f>
        <v/>
      </c>
      <c r="C138" s="8" t="s">
        <v>1389</v>
      </c>
    </row>
    <row r="139" ht="33.75" customHeight="1">
      <c r="A139" s="16" t="s">
        <v>1393</v>
      </c>
      <c r="B139" s="16" t="str">
        <f>IMAGE("https://lmztiles.s3.eu-west-1.amazonaws.com/Modern_Interiors_v41.3.4/1_Interiors/16x16/Theme_Sorter_Singles/6_Music_and_Sport/Music_and_Sport_Singles_142.png")</f>
        <v/>
      </c>
      <c r="C139" s="8" t="s">
        <v>1389</v>
      </c>
    </row>
    <row r="140" ht="33.75" customHeight="1">
      <c r="A140" s="16" t="s">
        <v>1394</v>
      </c>
      <c r="B140" s="16" t="str">
        <f>IMAGE("https://lmztiles.s3.eu-west-1.amazonaws.com/Modern_Interiors_v41.3.4/1_Interiors/16x16/Theme_Sorter_Singles/6_Music_and_Sport/Music_and_Sport_Singles_143.png")</f>
        <v/>
      </c>
      <c r="C140" s="8" t="s">
        <v>1389</v>
      </c>
    </row>
    <row r="141" ht="33.75" customHeight="1">
      <c r="A141" s="16" t="s">
        <v>1395</v>
      </c>
      <c r="B141" s="16" t="str">
        <f>IMAGE("https://lmztiles.s3.eu-west-1.amazonaws.com/Modern_Interiors_v41.3.4/1_Interiors/16x16/Theme_Sorter_Singles/6_Music_and_Sport/Music_and_Sport_Singles_144.png")</f>
        <v/>
      </c>
      <c r="C141" s="8" t="s">
        <v>1389</v>
      </c>
    </row>
    <row r="142" ht="33.75" customHeight="1">
      <c r="A142" s="16" t="s">
        <v>1396</v>
      </c>
      <c r="B142" s="16" t="str">
        <f>IMAGE("https://lmztiles.s3.eu-west-1.amazonaws.com/Modern_Interiors_v41.3.4/1_Interiors/16x16/Theme_Sorter_Singles/6_Music_and_Sport/Music_and_Sport_Singles_145.png")</f>
        <v/>
      </c>
      <c r="C142" s="8" t="s">
        <v>1389</v>
      </c>
    </row>
    <row r="143" ht="33.75" customHeight="1">
      <c r="A143" s="16" t="s">
        <v>1397</v>
      </c>
      <c r="B143" s="16" t="str">
        <f>IMAGE("https://lmztiles.s3.eu-west-1.amazonaws.com/Modern_Interiors_v41.3.4/1_Interiors/16x16/Theme_Sorter_Singles/6_Music_and_Sport/Music_and_Sport_Singles_146.png")</f>
        <v/>
      </c>
      <c r="C143" s="8" t="s">
        <v>1389</v>
      </c>
    </row>
    <row r="144" ht="33.75" customHeight="1">
      <c r="A144" s="16" t="s">
        <v>1398</v>
      </c>
      <c r="B144" s="16" t="str">
        <f>IMAGE("https://lmztiles.s3.eu-west-1.amazonaws.com/Modern_Interiors_v41.3.4/1_Interiors/16x16/Theme_Sorter_Singles/6_Music_and_Sport/Music_and_Sport_Singles_147.png")</f>
        <v/>
      </c>
      <c r="C144" s="8" t="s">
        <v>1399</v>
      </c>
    </row>
    <row r="145" ht="33.75" customHeight="1">
      <c r="A145" s="16" t="s">
        <v>1400</v>
      </c>
      <c r="B145" s="16" t="str">
        <f>IMAGE("https://lmztiles.s3.eu-west-1.amazonaws.com/Modern_Interiors_v41.3.4/1_Interiors/16x16/Theme_Sorter_Singles/6_Music_and_Sport/Music_and_Sport_Singles_148.png")</f>
        <v/>
      </c>
    </row>
    <row r="146" ht="33.75" customHeight="1">
      <c r="A146" s="16" t="s">
        <v>1401</v>
      </c>
      <c r="B146" s="16" t="str">
        <f>IMAGE("https://lmztiles.s3.eu-west-1.amazonaws.com/Modern_Interiors_v41.3.4/1_Interiors/16x16/Theme_Sorter_Singles/6_Music_and_Sport/Music_and_Sport_Singles_149.png")</f>
        <v/>
      </c>
    </row>
    <row r="147" ht="33.75" customHeight="1">
      <c r="A147" s="16" t="s">
        <v>1402</v>
      </c>
      <c r="B147" s="16" t="str">
        <f>IMAGE("https://lmztiles.s3.eu-west-1.amazonaws.com/Modern_Interiors_v41.3.4/1_Interiors/16x16/Theme_Sorter_Singles/6_Music_and_Sport/Music_and_Sport_Singles_150.png")</f>
        <v/>
      </c>
      <c r="C147" s="8" t="s">
        <v>1403</v>
      </c>
    </row>
    <row r="148" ht="33.75" customHeight="1">
      <c r="A148" s="16" t="s">
        <v>1404</v>
      </c>
      <c r="B148" s="16" t="str">
        <f>IMAGE("https://lmztiles.s3.eu-west-1.amazonaws.com/Modern_Interiors_v41.3.4/1_Interiors/16x16/Theme_Sorter_Singles/6_Music_and_Sport/Music_and_Sport_Singles_151.png")</f>
        <v/>
      </c>
      <c r="C148" s="8" t="s">
        <v>1405</v>
      </c>
    </row>
    <row r="149" ht="33.75" customHeight="1">
      <c r="A149" s="16" t="s">
        <v>1406</v>
      </c>
      <c r="B149" s="16" t="str">
        <f>IMAGE("https://lmztiles.s3.eu-west-1.amazonaws.com/Modern_Interiors_v41.3.4/1_Interiors/16x16/Theme_Sorter_Singles/6_Music_and_Sport/Music_and_Sport_Singles_152.png")</f>
        <v/>
      </c>
      <c r="C149" s="8" t="s">
        <v>1407</v>
      </c>
    </row>
    <row r="150" ht="33.75" customHeight="1">
      <c r="A150" s="16" t="s">
        <v>1408</v>
      </c>
      <c r="B150" s="16" t="str">
        <f>IMAGE("https://lmztiles.s3.eu-west-1.amazonaws.com/Modern_Interiors_v41.3.4/1_Interiors/16x16/Theme_Sorter_Singles/6_Music_and_Sport/Music_and_Sport_Singles_153.png")</f>
        <v/>
      </c>
      <c r="C150" s="8" t="s">
        <v>1409</v>
      </c>
    </row>
    <row r="151" ht="33.75" customHeight="1">
      <c r="A151" s="16" t="s">
        <v>1410</v>
      </c>
      <c r="B151" s="16" t="str">
        <f>IMAGE("https://lmztiles.s3.eu-west-1.amazonaws.com/Modern_Interiors_v41.3.4/1_Interiors/16x16/Theme_Sorter_Singles/6_Music_and_Sport/Music_and_Sport_Singles_154.png")</f>
        <v/>
      </c>
      <c r="C151" s="8" t="s">
        <v>1411</v>
      </c>
    </row>
    <row r="152" ht="33.75" customHeight="1">
      <c r="A152" s="16" t="s">
        <v>1412</v>
      </c>
      <c r="B152" s="16" t="str">
        <f>IMAGE("https://lmztiles.s3.eu-west-1.amazonaws.com/Modern_Interiors_v41.3.4/1_Interiors/16x16/Theme_Sorter_Singles/6_Music_and_Sport/Music_and_Sport_Singles_155.png")</f>
        <v/>
      </c>
      <c r="C152" s="8" t="s">
        <v>1413</v>
      </c>
    </row>
    <row r="153" ht="33.75" customHeight="1">
      <c r="A153" s="16" t="s">
        <v>1414</v>
      </c>
      <c r="B153" s="16" t="str">
        <f>IMAGE("https://lmztiles.s3.eu-west-1.amazonaws.com/Modern_Interiors_v41.3.4/1_Interiors/16x16/Theme_Sorter_Singles/6_Music_and_Sport/Music_and_Sport_Singles_156.png")</f>
        <v/>
      </c>
      <c r="C153" s="8" t="s">
        <v>1415</v>
      </c>
    </row>
    <row r="154" ht="33.75" customHeight="1">
      <c r="A154" s="16" t="s">
        <v>1416</v>
      </c>
      <c r="B154" s="16" t="str">
        <f>IMAGE("https://lmztiles.s3.eu-west-1.amazonaws.com/Modern_Interiors_v41.3.4/1_Interiors/16x16/Theme_Sorter_Singles/6_Music_and_Sport/Music_and_Sport_Singles_157.png")</f>
        <v/>
      </c>
      <c r="C154" s="8" t="s">
        <v>1417</v>
      </c>
    </row>
    <row r="155" ht="33.75" customHeight="1">
      <c r="A155" s="16" t="s">
        <v>1418</v>
      </c>
      <c r="B155" s="16" t="str">
        <f>IMAGE("https://lmztiles.s3.eu-west-1.amazonaws.com/Modern_Interiors_v41.3.4/1_Interiors/16x16/Theme_Sorter_Singles/6_Music_and_Sport/Music_and_Sport_Singles_158.png")</f>
        <v/>
      </c>
      <c r="C155" s="8" t="s">
        <v>1417</v>
      </c>
    </row>
    <row r="156" ht="33.75" customHeight="1">
      <c r="A156" s="16" t="s">
        <v>1419</v>
      </c>
      <c r="B156" s="16" t="str">
        <f>IMAGE("https://lmztiles.s3.eu-west-1.amazonaws.com/Modern_Interiors_v41.3.4/1_Interiors/16x16/Theme_Sorter_Singles/6_Music_and_Sport/Music_and_Sport_Singles_159.png")</f>
        <v/>
      </c>
      <c r="C156" s="8" t="s">
        <v>1417</v>
      </c>
    </row>
    <row r="157" ht="33.75" customHeight="1">
      <c r="A157" s="16" t="s">
        <v>1420</v>
      </c>
      <c r="B157" s="16" t="str">
        <f>IMAGE("https://lmztiles.s3.eu-west-1.amazonaws.com/Modern_Interiors_v41.3.4/1_Interiors/16x16/Theme_Sorter_Singles/6_Music_and_Sport/Music_and_Sport_Singles_160.png")</f>
        <v/>
      </c>
      <c r="C157" s="8" t="s">
        <v>1417</v>
      </c>
    </row>
    <row r="158" ht="33.75" customHeight="1">
      <c r="A158" s="16" t="s">
        <v>1421</v>
      </c>
      <c r="B158" s="16" t="str">
        <f>IMAGE("https://lmztiles.s3.eu-west-1.amazonaws.com/Modern_Interiors_v41.3.4/1_Interiors/16x16/Theme_Sorter_Singles/6_Music_and_Sport/Music_and_Sport_Singles_161.png")</f>
        <v/>
      </c>
      <c r="C158" s="8" t="s">
        <v>1422</v>
      </c>
    </row>
    <row r="159" ht="33.75" customHeight="1">
      <c r="A159" s="16" t="s">
        <v>1423</v>
      </c>
      <c r="B159" s="16" t="str">
        <f>IMAGE("https://lmztiles.s3.eu-west-1.amazonaws.com/Modern_Interiors_v41.3.4/1_Interiors/16x16/Theme_Sorter_Singles/6_Music_and_Sport/Music_and_Sport_Singles_162.png")</f>
        <v/>
      </c>
      <c r="C159" s="8" t="s">
        <v>1424</v>
      </c>
    </row>
    <row r="160" ht="33.75" customHeight="1">
      <c r="A160" s="16" t="s">
        <v>1425</v>
      </c>
      <c r="B160" s="16" t="str">
        <f>IMAGE("https://lmztiles.s3.eu-west-1.amazonaws.com/Modern_Interiors_v41.3.4/1_Interiors/16x16/Theme_Sorter_Singles/6_Music_and_Sport/Music_and_Sport_Singles_163.png")</f>
        <v/>
      </c>
      <c r="C160" s="8" t="s">
        <v>1426</v>
      </c>
    </row>
    <row r="161" ht="33.75" customHeight="1">
      <c r="A161" s="16" t="s">
        <v>1427</v>
      </c>
      <c r="B161" s="16" t="str">
        <f>IMAGE("https://lmztiles.s3.eu-west-1.amazonaws.com/Modern_Interiors_v41.3.4/1_Interiors/16x16/Theme_Sorter_Singles/6_Music_and_Sport/Music_and_Sport_Singles_164.png")</f>
        <v/>
      </c>
      <c r="C161" s="8" t="s">
        <v>1426</v>
      </c>
    </row>
    <row r="162" ht="33.75" customHeight="1">
      <c r="A162" s="16" t="s">
        <v>1428</v>
      </c>
      <c r="B162" s="16" t="str">
        <f>IMAGE("https://lmztiles.s3.eu-west-1.amazonaws.com/Modern_Interiors_v41.3.4/1_Interiors/16x16/Theme_Sorter_Singles/6_Music_and_Sport/Music_and_Sport_Singles_165.png")</f>
        <v/>
      </c>
      <c r="C162" s="8" t="s">
        <v>1303</v>
      </c>
    </row>
    <row r="163" ht="33.75" customHeight="1">
      <c r="A163" s="16" t="s">
        <v>1429</v>
      </c>
      <c r="B163" s="16" t="str">
        <f>IMAGE("https://lmztiles.s3.eu-west-1.amazonaws.com/Modern_Interiors_v41.3.4/1_Interiors/16x16/Theme_Sorter_Singles/6_Music_and_Sport/Music_and_Sport_Singles_166.png")</f>
        <v/>
      </c>
      <c r="C163" s="8" t="s">
        <v>1430</v>
      </c>
    </row>
    <row r="164" ht="33.75" customHeight="1">
      <c r="A164" s="16" t="s">
        <v>1431</v>
      </c>
      <c r="B164" s="16" t="str">
        <f>IMAGE("https://lmztiles.s3.eu-west-1.amazonaws.com/Modern_Interiors_v41.3.4/1_Interiors/16x16/Theme_Sorter_Singles/6_Music_and_Sport/Music_and_Sport_Singles_167.png")</f>
        <v/>
      </c>
      <c r="C164" s="8" t="s">
        <v>1303</v>
      </c>
    </row>
    <row r="165" ht="33.75" customHeight="1">
      <c r="A165" s="16" t="s">
        <v>1432</v>
      </c>
      <c r="B165" s="16" t="str">
        <f>IMAGE("https://lmztiles.s3.eu-west-1.amazonaws.com/Modern_Interiors_v41.3.4/1_Interiors/16x16/Theme_Sorter_Singles/6_Music_and_Sport/Music_and_Sport_Singles_168.png")</f>
        <v/>
      </c>
      <c r="C165" s="8" t="s">
        <v>1303</v>
      </c>
    </row>
    <row r="166" ht="33.75" customHeight="1">
      <c r="A166" s="16" t="s">
        <v>1433</v>
      </c>
      <c r="B166" s="16" t="str">
        <f>IMAGE("https://lmztiles.s3.eu-west-1.amazonaws.com/Modern_Interiors_v41.3.4/1_Interiors/16x16/Theme_Sorter_Singles/6_Music_and_Sport/Music_and_Sport_Singles_169.png")</f>
        <v/>
      </c>
      <c r="C166" s="8" t="s">
        <v>1430</v>
      </c>
    </row>
    <row r="167" ht="33.75" customHeight="1">
      <c r="A167" s="16" t="s">
        <v>1434</v>
      </c>
      <c r="B167" s="16" t="str">
        <f>IMAGE("https://lmztiles.s3.eu-west-1.amazonaws.com/Modern_Interiors_v41.3.4/1_Interiors/16x16/Theme_Sorter_Singles/6_Music_and_Sport/Music_and_Sport_Singles_170.png")</f>
        <v/>
      </c>
      <c r="C167" s="8" t="s">
        <v>1303</v>
      </c>
    </row>
    <row r="168" ht="33.75" customHeight="1">
      <c r="A168" s="16" t="s">
        <v>1435</v>
      </c>
      <c r="B168" s="16" t="str">
        <f>IMAGE("https://lmztiles.s3.eu-west-1.amazonaws.com/Modern_Interiors_v41.3.4/1_Interiors/16x16/Theme_Sorter_Singles/6_Music_and_Sport/Music_and_Sport_Singles_171.png")</f>
        <v/>
      </c>
      <c r="C168" s="8" t="s">
        <v>1436</v>
      </c>
    </row>
    <row r="169" ht="33.75" customHeight="1">
      <c r="A169" s="16" t="s">
        <v>1437</v>
      </c>
      <c r="B169" s="16" t="str">
        <f>IMAGE("https://lmztiles.s3.eu-west-1.amazonaws.com/Modern_Interiors_v41.3.4/1_Interiors/16x16/Theme_Sorter_Singles/6_Music_and_Sport/Music_and_Sport_Singles_172.png")</f>
        <v/>
      </c>
      <c r="C169" s="8" t="s">
        <v>1436</v>
      </c>
    </row>
    <row r="170" ht="33.75" customHeight="1">
      <c r="A170" s="16" t="s">
        <v>1438</v>
      </c>
      <c r="B170" s="16" t="str">
        <f>IMAGE("https://lmztiles.s3.eu-west-1.amazonaws.com/Modern_Interiors_v41.3.4/1_Interiors/16x16/Theme_Sorter_Singles/6_Music_and_Sport/Music_and_Sport_Singles_173.png")</f>
        <v/>
      </c>
      <c r="C170" s="8" t="s">
        <v>1303</v>
      </c>
    </row>
    <row r="171" ht="33.75" customHeight="1">
      <c r="A171" s="16" t="s">
        <v>1439</v>
      </c>
      <c r="B171" s="16" t="str">
        <f>IMAGE("https://lmztiles.s3.eu-west-1.amazonaws.com/Modern_Interiors_v41.3.4/1_Interiors/16x16/Theme_Sorter_Singles/6_Music_and_Sport/Music_and_Sport_Singles_174.png")</f>
        <v/>
      </c>
      <c r="C171" s="8" t="s">
        <v>1303</v>
      </c>
    </row>
    <row r="172" ht="33.75" customHeight="1">
      <c r="A172" s="16" t="s">
        <v>1440</v>
      </c>
      <c r="B172" s="16" t="str">
        <f>IMAGE("https://lmztiles.s3.eu-west-1.amazonaws.com/Modern_Interiors_v41.3.4/1_Interiors/16x16/Theme_Sorter_Singles/6_Music_and_Sport/Music_and_Sport_Singles_175.png")</f>
        <v/>
      </c>
      <c r="C172" s="8" t="s">
        <v>1430</v>
      </c>
    </row>
    <row r="173" ht="33.75" customHeight="1">
      <c r="A173" s="16" t="s">
        <v>1441</v>
      </c>
      <c r="B173" s="16" t="str">
        <f>IMAGE("https://lmztiles.s3.eu-west-1.amazonaws.com/Modern_Interiors_v41.3.4/1_Interiors/16x16/Theme_Sorter_Singles/6_Music_and_Sport/Music_and_Sport_Singles_176.png")</f>
        <v/>
      </c>
      <c r="C173" s="8" t="s">
        <v>1430</v>
      </c>
    </row>
    <row r="174" ht="33.75" customHeight="1">
      <c r="A174" s="16" t="s">
        <v>1442</v>
      </c>
      <c r="B174" s="16" t="str">
        <f>IMAGE("https://lmztiles.s3.eu-west-1.amazonaws.com/Modern_Interiors_v41.3.4/1_Interiors/16x16/Theme_Sorter_Singles/6_Music_and_Sport/Music_and_Sport_Singles_177.png")</f>
        <v/>
      </c>
      <c r="C174" s="8" t="s">
        <v>1303</v>
      </c>
    </row>
    <row r="175" ht="33.75" customHeight="1">
      <c r="A175" s="16" t="s">
        <v>1443</v>
      </c>
      <c r="B175" s="16" t="str">
        <f>IMAGE("https://lmztiles.s3.eu-west-1.amazonaws.com/Modern_Interiors_v41.3.4/1_Interiors/16x16/Theme_Sorter_Singles/6_Music_and_Sport/Music_and_Sport_Singles_178.png")</f>
        <v/>
      </c>
      <c r="C175" s="8" t="s">
        <v>1303</v>
      </c>
    </row>
    <row r="176" ht="33.75" customHeight="1">
      <c r="A176" s="16" t="s">
        <v>1444</v>
      </c>
      <c r="B176" s="16" t="str">
        <f>IMAGE("https://lmztiles.s3.eu-west-1.amazonaws.com/Modern_Interiors_v41.3.4/1_Interiors/16x16/Theme_Sorter_Singles/6_Music_and_Sport/Music_and_Sport_Singles_179.png")</f>
        <v/>
      </c>
      <c r="C176" s="8" t="s">
        <v>1430</v>
      </c>
    </row>
    <row r="177" ht="33.75" customHeight="1">
      <c r="A177" s="16" t="s">
        <v>1445</v>
      </c>
      <c r="B177" s="16" t="str">
        <f>IMAGE("https://lmztiles.s3.eu-west-1.amazonaws.com/Modern_Interiors_v41.3.4/1_Interiors/16x16/Theme_Sorter_Singles/6_Music_and_Sport/Music_and_Sport_Singles_180.png")</f>
        <v/>
      </c>
      <c r="C177" s="8" t="s">
        <v>1430</v>
      </c>
    </row>
    <row r="178" ht="33.75" customHeight="1">
      <c r="A178" s="16" t="s">
        <v>1446</v>
      </c>
      <c r="B178" s="16" t="str">
        <f>IMAGE("https://lmztiles.s3.eu-west-1.amazonaws.com/Modern_Interiors_v41.3.4/1_Interiors/16x16/Theme_Sorter_Singles/6_Music_and_Sport/Music_and_Sport_Singles_181.png")</f>
        <v/>
      </c>
      <c r="C178" s="8" t="s">
        <v>1430</v>
      </c>
    </row>
    <row r="179" ht="33.75" customHeight="1">
      <c r="A179" s="16" t="s">
        <v>1447</v>
      </c>
      <c r="B179" s="16" t="str">
        <f>IMAGE("https://lmztiles.s3.eu-west-1.amazonaws.com/Modern_Interiors_v41.3.4/1_Interiors/16x16/Theme_Sorter_Singles/6_Music_and_Sport/Music_and_Sport_Singles_182.png")</f>
        <v/>
      </c>
      <c r="C179" s="8" t="s">
        <v>1303</v>
      </c>
    </row>
    <row r="180" ht="33.75" customHeight="1">
      <c r="A180" s="16" t="s">
        <v>1448</v>
      </c>
      <c r="B180" s="16" t="str">
        <f>IMAGE("https://lmztiles.s3.eu-west-1.amazonaws.com/Modern_Interiors_v41.3.4/1_Interiors/16x16/Theme_Sorter_Singles/6_Music_and_Sport/Music_and_Sport_Singles_183.png")</f>
        <v/>
      </c>
      <c r="C180" s="8" t="s">
        <v>1449</v>
      </c>
    </row>
    <row r="181" ht="33.75" customHeight="1">
      <c r="A181" s="16" t="s">
        <v>1450</v>
      </c>
      <c r="B181" s="16" t="str">
        <f>IMAGE("https://lmztiles.s3.eu-west-1.amazonaws.com/Modern_Interiors_v41.3.4/1_Interiors/16x16/Theme_Sorter_Singles/6_Music_and_Sport/Music_and_Sport_Singles_184.png")</f>
        <v/>
      </c>
      <c r="C181" s="8" t="s">
        <v>1449</v>
      </c>
    </row>
    <row r="182" ht="33.75" customHeight="1">
      <c r="A182" s="16" t="s">
        <v>1451</v>
      </c>
      <c r="B182" s="16" t="str">
        <f>IMAGE("https://lmztiles.s3.eu-west-1.amazonaws.com/Modern_Interiors_v41.3.4/1_Interiors/16x16/Theme_Sorter_Singles/6_Music_and_Sport/Music_and_Sport_Singles_185.png")</f>
        <v/>
      </c>
      <c r="C182" s="8" t="s">
        <v>1303</v>
      </c>
    </row>
    <row r="183" ht="33.75" customHeight="1">
      <c r="A183" s="16" t="s">
        <v>1452</v>
      </c>
      <c r="B183" s="16" t="str">
        <f>IMAGE("https://lmztiles.s3.eu-west-1.amazonaws.com/Modern_Interiors_v41.3.4/1_Interiors/16x16/Theme_Sorter_Singles/6_Music_and_Sport/Music_and_Sport_Singles_186.png")</f>
        <v/>
      </c>
      <c r="C183" s="8" t="s">
        <v>1303</v>
      </c>
    </row>
    <row r="184" ht="33.75" customHeight="1">
      <c r="A184" s="16" t="s">
        <v>1453</v>
      </c>
      <c r="B184" s="16" t="str">
        <f>IMAGE("https://lmztiles.s3.eu-west-1.amazonaws.com/Modern_Interiors_v41.3.4/1_Interiors/16x16/Theme_Sorter_Singles/6_Music_and_Sport/Music_and_Sport_Singles_187.png")</f>
        <v/>
      </c>
      <c r="C184" s="8" t="s">
        <v>1303</v>
      </c>
    </row>
    <row r="185" ht="33.75" customHeight="1">
      <c r="A185" s="16" t="s">
        <v>1454</v>
      </c>
      <c r="B185" s="16" t="str">
        <f>IMAGE("https://lmztiles.s3.eu-west-1.amazonaws.com/Modern_Interiors_v41.3.4/1_Interiors/16x16/Theme_Sorter_Singles/6_Music_and_Sport/Music_and_Sport_Singles_188.png")</f>
        <v/>
      </c>
      <c r="C185" s="8" t="s">
        <v>1303</v>
      </c>
    </row>
    <row r="186" ht="33.75" customHeight="1">
      <c r="A186" s="16" t="s">
        <v>1455</v>
      </c>
      <c r="B186" s="16" t="str">
        <f>IMAGE("https://lmztiles.s3.eu-west-1.amazonaws.com/Modern_Interiors_v41.3.4/1_Interiors/16x16/Theme_Sorter_Singles/6_Music_and_Sport/Music_and_Sport_Singles_189.png")</f>
        <v/>
      </c>
      <c r="C186" s="8" t="s">
        <v>1221</v>
      </c>
    </row>
    <row r="187" ht="33.75" customHeight="1">
      <c r="A187" s="16" t="s">
        <v>1456</v>
      </c>
      <c r="B187" s="16" t="str">
        <f>IMAGE("https://lmztiles.s3.eu-west-1.amazonaws.com/Modern_Interiors_v41.3.4/1_Interiors/16x16/Theme_Sorter_Singles/6_Music_and_Sport/Music_and_Sport_Singles_190.png")</f>
        <v/>
      </c>
      <c r="C187" s="8" t="s">
        <v>1221</v>
      </c>
    </row>
    <row r="188" ht="33.75" customHeight="1">
      <c r="A188" s="16" t="s">
        <v>1457</v>
      </c>
      <c r="B188" s="16" t="str">
        <f>IMAGE("https://lmztiles.s3.eu-west-1.amazonaws.com/Modern_Interiors_v41.3.4/1_Interiors/16x16/Theme_Sorter_Singles/6_Music_and_Sport/Music_and_Sport_Singles_191.png")</f>
        <v/>
      </c>
      <c r="C188" s="8" t="s">
        <v>1221</v>
      </c>
    </row>
    <row r="189" ht="33.75" customHeight="1">
      <c r="A189" s="16" t="s">
        <v>1458</v>
      </c>
      <c r="B189" s="16" t="str">
        <f>IMAGE("https://lmztiles.s3.eu-west-1.amazonaws.com/Modern_Interiors_v41.3.4/1_Interiors/16x16/Theme_Sorter_Singles/6_Music_and_Sport/Music_and_Sport_Singles_192.png")</f>
        <v/>
      </c>
      <c r="C189" s="8" t="s">
        <v>1221</v>
      </c>
    </row>
    <row r="190" ht="33.75" customHeight="1">
      <c r="A190" s="16" t="s">
        <v>1459</v>
      </c>
      <c r="B190" s="16" t="str">
        <f>IMAGE("https://lmztiles.s3.eu-west-1.amazonaws.com/Modern_Interiors_v41.3.4/1_Interiors/16x16/Theme_Sorter_Singles/6_Music_and_Sport/Music_and_Sport_Singles_193.png")</f>
        <v/>
      </c>
      <c r="C190" s="8" t="s">
        <v>1256</v>
      </c>
    </row>
    <row r="191" ht="33.75" customHeight="1">
      <c r="A191" s="16" t="s">
        <v>1460</v>
      </c>
      <c r="B191" s="16" t="str">
        <f>IMAGE("https://lmztiles.s3.eu-west-1.amazonaws.com/Modern_Interiors_v41.3.4/1_Interiors/16x16/Theme_Sorter_Singles/6_Music_and_Sport/Music_and_Sport_Singles_194.png")</f>
        <v/>
      </c>
      <c r="C191" s="8" t="s">
        <v>1256</v>
      </c>
    </row>
    <row r="192" ht="33.75" customHeight="1">
      <c r="A192" s="16" t="s">
        <v>1461</v>
      </c>
      <c r="B192" s="16" t="str">
        <f>IMAGE("https://lmztiles.s3.eu-west-1.amazonaws.com/Modern_Interiors_v41.3.4/1_Interiors/16x16/Theme_Sorter_Singles/6_Music_and_Sport/Music_and_Sport_Singles_195.png")</f>
        <v/>
      </c>
      <c r="C192" s="8" t="s">
        <v>1256</v>
      </c>
    </row>
    <row r="193" ht="33.75" customHeight="1">
      <c r="A193" s="16" t="s">
        <v>1462</v>
      </c>
      <c r="B193" s="16" t="str">
        <f>IMAGE("https://lmztiles.s3.eu-west-1.amazonaws.com/Modern_Interiors_v41.3.4/1_Interiors/16x16/Theme_Sorter_Singles/6_Music_and_Sport/Music_and_Sport_Singles_196.png")</f>
        <v/>
      </c>
      <c r="C193" s="8" t="s">
        <v>1256</v>
      </c>
    </row>
    <row r="194" ht="33.75" customHeight="1">
      <c r="A194" s="16" t="s">
        <v>1463</v>
      </c>
      <c r="B194" s="16" t="str">
        <f>IMAGE("https://lmztiles.s3.eu-west-1.amazonaws.com/Modern_Interiors_v41.3.4/1_Interiors/16x16/Theme_Sorter_Singles/6_Music_and_Sport/Music_and_Sport_Singles_197.png")</f>
        <v/>
      </c>
      <c r="C194" s="8" t="s">
        <v>1256</v>
      </c>
    </row>
    <row r="195" ht="33.75" customHeight="1">
      <c r="A195" s="16" t="s">
        <v>1464</v>
      </c>
      <c r="B195" s="16" t="str">
        <f>IMAGE("https://lmztiles.s3.eu-west-1.amazonaws.com/Modern_Interiors_v41.3.4/1_Interiors/16x16/Theme_Sorter_Singles/6_Music_and_Sport/Music_and_Sport_Singles_198.png")</f>
        <v/>
      </c>
      <c r="C195" s="8" t="s">
        <v>1256</v>
      </c>
    </row>
    <row r="196" ht="33.75" customHeight="1">
      <c r="A196" s="16" t="s">
        <v>1465</v>
      </c>
      <c r="B196" s="16" t="str">
        <f>IMAGE("https://lmztiles.s3.eu-west-1.amazonaws.com/Modern_Interiors_v41.3.4/1_Interiors/16x16/Theme_Sorter_Singles/6_Music_and_Sport/Music_and_Sport_Singles_199.png")</f>
        <v/>
      </c>
      <c r="C196" s="8" t="s">
        <v>1436</v>
      </c>
    </row>
    <row r="197" ht="33.75" customHeight="1">
      <c r="A197" s="16" t="s">
        <v>1466</v>
      </c>
      <c r="B197" s="16" t="str">
        <f>IMAGE("https://lmztiles.s3.eu-west-1.amazonaws.com/Modern_Interiors_v41.3.4/1_Interiors/16x16/Theme_Sorter_Singles/6_Music_and_Sport/Music_and_Sport_Singles_200.png")</f>
        <v/>
      </c>
      <c r="C197" s="8" t="s">
        <v>1436</v>
      </c>
    </row>
    <row r="198" ht="33.75" customHeight="1">
      <c r="A198" s="16" t="s">
        <v>1467</v>
      </c>
      <c r="B198" s="16" t="str">
        <f>IMAGE("https://lmztiles.s3.eu-west-1.amazonaws.com/Modern_Interiors_v41.3.4/1_Interiors/16x16/Theme_Sorter_Singles/6_Music_and_Sport/Music_and_Sport_Singles_201.png")</f>
        <v/>
      </c>
      <c r="C198" s="8" t="s">
        <v>1436</v>
      </c>
    </row>
    <row r="199" ht="33.75" customHeight="1">
      <c r="A199" s="16" t="s">
        <v>1468</v>
      </c>
      <c r="B199" s="16" t="str">
        <f>IMAGE("https://lmztiles.s3.eu-west-1.amazonaws.com/Modern_Interiors_v41.3.4/1_Interiors/16x16/Theme_Sorter_Singles/6_Music_and_Sport/Music_and_Sport_Singles_202.png")</f>
        <v/>
      </c>
      <c r="C199" s="8" t="s">
        <v>1436</v>
      </c>
    </row>
    <row r="200" ht="33.75" customHeight="1">
      <c r="A200" s="16" t="s">
        <v>1469</v>
      </c>
      <c r="B200" s="16" t="str">
        <f>IMAGE("https://lmztiles.s3.eu-west-1.amazonaws.com/Modern_Interiors_v41.3.4/1_Interiors/16x16/Theme_Sorter_Singles/6_Music_and_Sport/Music_and_Sport_Singles_203.png")</f>
        <v/>
      </c>
      <c r="C200" s="8" t="s">
        <v>1470</v>
      </c>
    </row>
    <row r="201" ht="33.75" customHeight="1">
      <c r="A201" s="16" t="s">
        <v>1471</v>
      </c>
      <c r="B201" s="16" t="str">
        <f>IMAGE("https://lmztiles.s3.eu-west-1.amazonaws.com/Modern_Interiors_v41.3.4/1_Interiors/16x16/Theme_Sorter_Singles/6_Music_and_Sport/Music_and_Sport_Singles_204.png")</f>
        <v/>
      </c>
      <c r="C201" s="8" t="s">
        <v>1472</v>
      </c>
    </row>
    <row r="202" ht="33.75" customHeight="1">
      <c r="A202" s="16" t="s">
        <v>1473</v>
      </c>
      <c r="B202" s="16" t="str">
        <f>IMAGE("https://lmztiles.s3.eu-west-1.amazonaws.com/Modern_Interiors_v41.3.4/1_Interiors/16x16/Theme_Sorter_Singles/6_Music_and_Sport/Music_and_Sport_Singles_205.png")</f>
        <v/>
      </c>
      <c r="C202" s="8" t="s">
        <v>1474</v>
      </c>
    </row>
    <row r="203" ht="33.75" customHeight="1">
      <c r="A203" s="16" t="s">
        <v>1475</v>
      </c>
      <c r="B203" s="16" t="str">
        <f>IMAGE("https://lmztiles.s3.eu-west-1.amazonaws.com/Modern_Interiors_v41.3.4/1_Interiors/16x16/Theme_Sorter_Singles/6_Music_and_Sport/Music_and_Sport_Singles_206.png")</f>
        <v/>
      </c>
      <c r="C203" s="8" t="s">
        <v>1470</v>
      </c>
    </row>
    <row r="204" ht="33.75" customHeight="1">
      <c r="A204" s="16" t="s">
        <v>1476</v>
      </c>
      <c r="B204" s="16" t="str">
        <f>IMAGE("https://lmztiles.s3.eu-west-1.amazonaws.com/Modern_Interiors_v41.3.4/1_Interiors/16x16/Theme_Sorter_Singles/6_Music_and_Sport/Music_and_Sport_Singles_207.png")</f>
        <v/>
      </c>
      <c r="C204" s="8" t="s">
        <v>1472</v>
      </c>
    </row>
    <row r="205" ht="33.75" customHeight="1">
      <c r="A205" s="16" t="s">
        <v>1477</v>
      </c>
      <c r="B205" s="16" t="str">
        <f>IMAGE("https://lmztiles.s3.eu-west-1.amazonaws.com/Modern_Interiors_v41.3.4/1_Interiors/16x16/Theme_Sorter_Singles/6_Music_and_Sport/Music_and_Sport_Singles_208.png")</f>
        <v/>
      </c>
      <c r="C205" s="8" t="s">
        <v>1474</v>
      </c>
    </row>
    <row r="206" ht="33.75" customHeight="1">
      <c r="A206" s="16" t="s">
        <v>1478</v>
      </c>
      <c r="B206" s="16" t="str">
        <f>IMAGE("https://lmztiles.s3.eu-west-1.amazonaws.com/Modern_Interiors_v41.3.4/1_Interiors/16x16/Theme_Sorter_Singles/6_Music_and_Sport/Music_and_Sport_Singles_209.png")</f>
        <v/>
      </c>
      <c r="C206" s="8" t="s">
        <v>1277</v>
      </c>
    </row>
    <row r="207" ht="33.75" customHeight="1">
      <c r="A207" s="16" t="s">
        <v>1479</v>
      </c>
      <c r="B207" s="16" t="str">
        <f>IMAGE("https://lmztiles.s3.eu-west-1.amazonaws.com/Modern_Interiors_v41.3.4/1_Interiors/16x16/Theme_Sorter_Singles/6_Music_and_Sport/Music_and_Sport_Singles_210.png")</f>
        <v/>
      </c>
      <c r="C207" s="17" t="s">
        <v>1277</v>
      </c>
    </row>
    <row r="208" ht="33.75" customHeight="1">
      <c r="A208" s="16" t="s">
        <v>1480</v>
      </c>
      <c r="B208" s="16" t="str">
        <f>IMAGE("https://lmztiles.s3.eu-west-1.amazonaws.com/Modern_Interiors_v41.3.4/1_Interiors/16x16/Theme_Sorter_Singles/6_Music_and_Sport/Music_and_Sport_Singles_211.png")</f>
        <v/>
      </c>
      <c r="C208" s="17" t="s">
        <v>1277</v>
      </c>
    </row>
    <row r="209" ht="33.75" customHeight="1">
      <c r="A209" s="16" t="s">
        <v>1481</v>
      </c>
      <c r="B209" s="16" t="str">
        <f>IMAGE("https://lmztiles.s3.eu-west-1.amazonaws.com/Modern_Interiors_v41.3.4/1_Interiors/16x16/Theme_Sorter_Singles/6_Music_and_Sport/Music_and_Sport_Singles_212.png")</f>
        <v/>
      </c>
      <c r="C209" s="8" t="s">
        <v>1291</v>
      </c>
    </row>
    <row r="210" ht="33.75" customHeight="1">
      <c r="A210" s="16" t="s">
        <v>1482</v>
      </c>
      <c r="B210" s="16" t="str">
        <f>IMAGE("https://lmztiles.s3.eu-west-1.amazonaws.com/Modern_Interiors_v41.3.4/1_Interiors/16x16/Theme_Sorter_Singles/6_Music_and_Sport/Music_and_Sport_Singles_213.png")</f>
        <v/>
      </c>
      <c r="C210" s="8" t="s">
        <v>1291</v>
      </c>
    </row>
    <row r="211" ht="33.75" customHeight="1">
      <c r="A211" s="16" t="s">
        <v>1483</v>
      </c>
      <c r="B211" s="16" t="str">
        <f>IMAGE("https://lmztiles.s3.eu-west-1.amazonaws.com/Modern_Interiors_v41.3.4/1_Interiors/16x16/Theme_Sorter_Singles/6_Music_and_Sport/Music_and_Sport_Singles_214.png")</f>
        <v/>
      </c>
      <c r="C211" s="8" t="s">
        <v>1291</v>
      </c>
    </row>
    <row r="212" ht="33.75" customHeight="1">
      <c r="A212" s="16" t="s">
        <v>1484</v>
      </c>
      <c r="B212" s="16" t="str">
        <f>IMAGE("https://lmztiles.s3.eu-west-1.amazonaws.com/Modern_Interiors_v41.3.4/1_Interiors/16x16/Theme_Sorter_Singles/6_Music_and_Sport/Music_and_Sport_Singles_215.png")</f>
        <v/>
      </c>
      <c r="C212" s="8" t="s">
        <v>1291</v>
      </c>
    </row>
    <row r="213" ht="33.75" customHeight="1">
      <c r="A213" s="16" t="s">
        <v>1485</v>
      </c>
      <c r="B213" s="16" t="str">
        <f>IMAGE("https://lmztiles.s3.eu-west-1.amazonaws.com/Modern_Interiors_v41.3.4/1_Interiors/16x16/Theme_Sorter_Singles/6_Music_and_Sport/Music_and_Sport_Singles_216.png")</f>
        <v/>
      </c>
      <c r="C213" s="8" t="s">
        <v>1307</v>
      </c>
    </row>
    <row r="214" ht="33.75" customHeight="1">
      <c r="A214" s="16" t="s">
        <v>1486</v>
      </c>
      <c r="B214" s="16" t="str">
        <f>IMAGE("https://lmztiles.s3.eu-west-1.amazonaws.com/Modern_Interiors_v41.3.4/1_Interiors/16x16/Theme_Sorter_Singles/6_Music_and_Sport/Music_and_Sport_Singles_217.png")</f>
        <v/>
      </c>
      <c r="C214" s="8" t="s">
        <v>1307</v>
      </c>
    </row>
    <row r="215" ht="33.75" customHeight="1">
      <c r="A215" s="16" t="s">
        <v>1487</v>
      </c>
      <c r="B215" s="16" t="str">
        <f>IMAGE("https://lmztiles.s3.eu-west-1.amazonaws.com/Modern_Interiors_v41.3.4/1_Interiors/16x16/Theme_Sorter_Singles/6_Music_and_Sport/Music_and_Sport_Singles_218.png")</f>
        <v/>
      </c>
      <c r="C215" s="8" t="s">
        <v>1307</v>
      </c>
    </row>
    <row r="216" ht="33.75" customHeight="1">
      <c r="A216" s="16" t="s">
        <v>1488</v>
      </c>
      <c r="B216" s="16" t="str">
        <f>IMAGE("https://lmztiles.s3.eu-west-1.amazonaws.com/Modern_Interiors_v41.3.4/1_Interiors/16x16/Theme_Sorter_Singles/6_Music_and_Sport/Music_and_Sport_Singles_219.png")</f>
        <v/>
      </c>
      <c r="C216" s="8" t="s">
        <v>1307</v>
      </c>
    </row>
    <row r="217" ht="33.75" customHeight="1">
      <c r="A217" s="16" t="s">
        <v>1489</v>
      </c>
      <c r="B217" s="16" t="str">
        <f>IMAGE("https://lmztiles.s3.eu-west-1.amazonaws.com/Modern_Interiors_v41.3.4/1_Interiors/16x16/Theme_Sorter_Singles/6_Music_and_Sport/Music_and_Sport_Singles_220.png")</f>
        <v/>
      </c>
      <c r="C217" s="8" t="s">
        <v>1307</v>
      </c>
    </row>
    <row r="218" ht="33.75" customHeight="1">
      <c r="A218" s="16" t="s">
        <v>1490</v>
      </c>
      <c r="B218" s="16" t="str">
        <f>IMAGE("https://lmztiles.s3.eu-west-1.amazonaws.com/Modern_Interiors_v41.3.4/1_Interiors/16x16/Theme_Sorter_Singles/6_Music_and_Sport/Music_and_Sport_Singles_221.png")</f>
        <v/>
      </c>
      <c r="C218" s="8" t="s">
        <v>1307</v>
      </c>
    </row>
    <row r="219" ht="33.75" customHeight="1">
      <c r="A219" s="16" t="s">
        <v>1491</v>
      </c>
      <c r="B219" s="16" t="str">
        <f>IMAGE("https://lmztiles.s3.eu-west-1.amazonaws.com/Modern_Interiors_v41.3.4/1_Interiors/16x16/Theme_Sorter_Singles/6_Music_and_Sport/Music_and_Sport_Singles_222.png")</f>
        <v/>
      </c>
      <c r="C219" s="8" t="s">
        <v>1307</v>
      </c>
    </row>
    <row r="220" ht="33.75" customHeight="1">
      <c r="A220" s="16" t="s">
        <v>1492</v>
      </c>
      <c r="B220" s="16" t="str">
        <f>IMAGE("https://lmztiles.s3.eu-west-1.amazonaws.com/Modern_Interiors_v41.3.4/1_Interiors/16x16/Theme_Sorter_Singles/6_Music_and_Sport/Music_and_Sport_Singles_223.png")</f>
        <v/>
      </c>
      <c r="C220" s="8" t="s">
        <v>1307</v>
      </c>
    </row>
    <row r="221" ht="33.75" customHeight="1">
      <c r="A221" s="16" t="s">
        <v>1493</v>
      </c>
      <c r="B221" s="16" t="str">
        <f>IMAGE("https://lmztiles.s3.eu-west-1.amazonaws.com/Modern_Interiors_v41.3.4/1_Interiors/16x16/Theme_Sorter_Singles/6_Music_and_Sport/Music_and_Sport_Singles_224.png")</f>
        <v/>
      </c>
      <c r="C221" s="8" t="s">
        <v>1307</v>
      </c>
    </row>
    <row r="222" ht="33.75" customHeight="1">
      <c r="A222" s="16" t="s">
        <v>1494</v>
      </c>
      <c r="B222" s="16" t="str">
        <f>IMAGE("https://lmztiles.s3.eu-west-1.amazonaws.com/Modern_Interiors_v41.3.4/1_Interiors/16x16/Theme_Sorter_Singles/6_Music_and_Sport/Music_and_Sport_Singles_225.png")</f>
        <v/>
      </c>
      <c r="C222" s="8" t="s">
        <v>1307</v>
      </c>
    </row>
    <row r="223" ht="33.75" customHeight="1">
      <c r="A223" s="16" t="s">
        <v>1495</v>
      </c>
      <c r="B223" s="16" t="str">
        <f>IMAGE("https://lmztiles.s3.eu-west-1.amazonaws.com/Modern_Interiors_v41.3.4/1_Interiors/16x16/Theme_Sorter_Singles/6_Music_and_Sport/Music_and_Sport_Singles_226.png")</f>
        <v/>
      </c>
      <c r="C223" s="8" t="s">
        <v>1307</v>
      </c>
    </row>
    <row r="224" ht="33.75" customHeight="1">
      <c r="A224" s="16" t="s">
        <v>1496</v>
      </c>
      <c r="B224" s="16" t="str">
        <f>IMAGE("https://lmztiles.s3.eu-west-1.amazonaws.com/Modern_Interiors_v41.3.4/1_Interiors/16x16/Theme_Sorter_Singles/6_Music_and_Sport/Music_and_Sport_Singles_227.png")</f>
        <v/>
      </c>
      <c r="C224" s="8" t="s">
        <v>1307</v>
      </c>
    </row>
    <row r="225" ht="33.75" customHeight="1">
      <c r="A225" s="16" t="s">
        <v>1497</v>
      </c>
      <c r="B225" s="16" t="str">
        <f>IMAGE("https://lmztiles.s3.eu-west-1.amazonaws.com/Modern_Interiors_v41.3.4/1_Interiors/16x16/Theme_Sorter_Singles/6_Music_and_Sport/Music_and_Sport_Singles_228.png")</f>
        <v/>
      </c>
      <c r="C225" s="8" t="s">
        <v>1307</v>
      </c>
    </row>
    <row r="226" ht="33.75" customHeight="1">
      <c r="A226" s="16" t="s">
        <v>1498</v>
      </c>
      <c r="B226" s="16" t="str">
        <f>IMAGE("https://lmztiles.s3.eu-west-1.amazonaws.com/Modern_Interiors_v41.3.4/1_Interiors/16x16/Theme_Sorter_Singles/6_Music_and_Sport/Music_and_Sport_Singles_229.png")</f>
        <v/>
      </c>
      <c r="C226" s="8" t="s">
        <v>1307</v>
      </c>
    </row>
    <row r="227" ht="33.75" customHeight="1">
      <c r="A227" s="16" t="s">
        <v>1499</v>
      </c>
      <c r="B227" s="16" t="str">
        <f>IMAGE("https://lmztiles.s3.eu-west-1.amazonaws.com/Modern_Interiors_v41.3.4/1_Interiors/16x16/Theme_Sorter_Singles/6_Music_and_Sport/Music_and_Sport_Singles_230.png")</f>
        <v/>
      </c>
      <c r="C227" s="8" t="s">
        <v>1307</v>
      </c>
    </row>
    <row r="228" ht="33.75" customHeight="1">
      <c r="A228" s="16" t="s">
        <v>1500</v>
      </c>
      <c r="B228" s="16" t="str">
        <f>IMAGE("https://lmztiles.s3.eu-west-1.amazonaws.com/Modern_Interiors_v41.3.4/1_Interiors/16x16/Theme_Sorter_Singles/6_Music_and_Sport/Music_and_Sport_Singles_231.png")</f>
        <v/>
      </c>
      <c r="C228" s="8" t="s">
        <v>1307</v>
      </c>
    </row>
    <row r="229" ht="33.75" customHeight="1">
      <c r="A229" s="16" t="s">
        <v>1501</v>
      </c>
      <c r="B229" s="16" t="str">
        <f>IMAGE("https://lmztiles.s3.eu-west-1.amazonaws.com/Modern_Interiors_v41.3.4/1_Interiors/16x16/Theme_Sorter_Singles/6_Music_and_Sport/Music_and_Sport_Singles_232.png")</f>
        <v/>
      </c>
      <c r="C229" s="8" t="s">
        <v>1307</v>
      </c>
    </row>
    <row r="230" ht="33.75" customHeight="1">
      <c r="A230" s="16" t="s">
        <v>1502</v>
      </c>
      <c r="B230" s="16" t="str">
        <f>IMAGE("https://lmztiles.s3.eu-west-1.amazonaws.com/Modern_Interiors_v41.3.4/1_Interiors/16x16/Theme_Sorter_Singles/6_Music_and_Sport/Music_and_Sport_Singles_233.png")</f>
        <v/>
      </c>
      <c r="C230" s="8" t="s">
        <v>1307</v>
      </c>
    </row>
    <row r="231" ht="33.75" customHeight="1">
      <c r="A231" s="16" t="s">
        <v>1503</v>
      </c>
      <c r="B231" s="16" t="str">
        <f>IMAGE("https://lmztiles.s3.eu-west-1.amazonaws.com/Modern_Interiors_v41.3.4/1_Interiors/16x16/Theme_Sorter_Singles/6_Music_and_Sport/Music_and_Sport_Singles_234.png")</f>
        <v/>
      </c>
      <c r="C231" s="8" t="s">
        <v>1307</v>
      </c>
    </row>
    <row r="232" ht="33.75" customHeight="1">
      <c r="A232" s="16" t="s">
        <v>1504</v>
      </c>
      <c r="B232" s="16" t="str">
        <f>IMAGE("https://lmztiles.s3.eu-west-1.amazonaws.com/Modern_Interiors_v41.3.4/1_Interiors/16x16/Theme_Sorter_Singles/6_Music_and_Sport/Music_and_Sport_Singles_235.png")</f>
        <v/>
      </c>
      <c r="C232" s="8" t="s">
        <v>1307</v>
      </c>
    </row>
    <row r="233" ht="33.75" customHeight="1">
      <c r="A233" s="16" t="s">
        <v>1505</v>
      </c>
      <c r="B233" s="16" t="str">
        <f>IMAGE("https://lmztiles.s3.eu-west-1.amazonaws.com/Modern_Interiors_v41.3.4/1_Interiors/16x16/Theme_Sorter_Singles/6_Music_and_Sport/Music_and_Sport_Singles_236.png")</f>
        <v/>
      </c>
      <c r="C233" s="8" t="s">
        <v>1307</v>
      </c>
    </row>
    <row r="234" ht="33.75" customHeight="1">
      <c r="A234" s="16" t="s">
        <v>1506</v>
      </c>
      <c r="B234" s="16" t="str">
        <f>IMAGE("https://lmztiles.s3.eu-west-1.amazonaws.com/Modern_Interiors_v41.3.4/1_Interiors/16x16/Theme_Sorter_Singles/6_Music_and_Sport/Music_and_Sport_Singles_237.png")</f>
        <v/>
      </c>
      <c r="C234" s="8" t="s">
        <v>1307</v>
      </c>
    </row>
    <row r="235" ht="33.75" customHeight="1">
      <c r="A235" s="16" t="s">
        <v>1507</v>
      </c>
      <c r="B235" s="16" t="str">
        <f>IMAGE("https://lmztiles.s3.eu-west-1.amazonaws.com/Modern_Interiors_v41.3.4/1_Interiors/16x16/Theme_Sorter_Singles/6_Music_and_Sport/Music_and_Sport_Singles_238.png")</f>
        <v/>
      </c>
      <c r="C235" s="8" t="s">
        <v>1307</v>
      </c>
    </row>
    <row r="236" ht="33.75" customHeight="1">
      <c r="A236" s="16" t="s">
        <v>1508</v>
      </c>
      <c r="B236" s="16" t="str">
        <f>IMAGE("https://lmztiles.s3.eu-west-1.amazonaws.com/Modern_Interiors_v41.3.4/1_Interiors/16x16/Theme_Sorter_Singles/6_Music_and_Sport/Music_and_Sport_Singles_239.png")</f>
        <v/>
      </c>
      <c r="C236" s="8" t="s">
        <v>1307</v>
      </c>
    </row>
    <row r="237" ht="33.75" customHeight="1">
      <c r="A237" s="16" t="s">
        <v>1509</v>
      </c>
      <c r="B237" s="16" t="str">
        <f>IMAGE("https://lmztiles.s3.eu-west-1.amazonaws.com/Modern_Interiors_v41.3.4/1_Interiors/16x16/Theme_Sorter_Singles/6_Music_and_Sport/Music_and_Sport_Singles_240.png")</f>
        <v/>
      </c>
      <c r="C237" s="8" t="s">
        <v>1307</v>
      </c>
    </row>
    <row r="238" ht="33.75" customHeight="1">
      <c r="A238" s="16" t="s">
        <v>1510</v>
      </c>
      <c r="B238" s="16" t="str">
        <f>IMAGE("https://lmztiles.s3.eu-west-1.amazonaws.com/Modern_Interiors_v41.3.4/1_Interiors/16x16/Theme_Sorter_Singles/6_Music_and_Sport/Music_and_Sport_Singles_241.png")</f>
        <v/>
      </c>
      <c r="C238" s="8" t="s">
        <v>1307</v>
      </c>
    </row>
    <row r="239" ht="33.75" customHeight="1">
      <c r="A239" s="16" t="s">
        <v>1511</v>
      </c>
      <c r="B239" s="16" t="str">
        <f>IMAGE("https://lmztiles.s3.eu-west-1.amazonaws.com/Modern_Interiors_v41.3.4/1_Interiors/16x16/Theme_Sorter_Singles/6_Music_and_Sport/Music_and_Sport_Singles_242.png")</f>
        <v/>
      </c>
      <c r="C239" s="8" t="s">
        <v>1307</v>
      </c>
    </row>
    <row r="240" ht="33.75" customHeight="1">
      <c r="A240" s="16" t="s">
        <v>1512</v>
      </c>
      <c r="B240" s="16" t="str">
        <f>IMAGE("https://lmztiles.s3.eu-west-1.amazonaws.com/Modern_Interiors_v41.3.4/1_Interiors/16x16/Theme_Sorter_Singles/6_Music_and_Sport/Music_and_Sport_Singles_243.png")</f>
        <v/>
      </c>
      <c r="C240" s="8" t="s">
        <v>1513</v>
      </c>
    </row>
    <row r="241" ht="33.75" customHeight="1">
      <c r="A241" s="16" t="s">
        <v>1514</v>
      </c>
      <c r="B241" s="16" t="str">
        <f>IMAGE("https://lmztiles.s3.eu-west-1.amazonaws.com/Modern_Interiors_v41.3.4/1_Interiors/16x16/Theme_Sorter_Singles/6_Music_and_Sport/Music_and_Sport_Singles_244.png")</f>
        <v/>
      </c>
      <c r="C241" s="8" t="s">
        <v>1515</v>
      </c>
    </row>
    <row r="242" ht="33.75" customHeight="1">
      <c r="A242" s="16" t="s">
        <v>1516</v>
      </c>
      <c r="B242" s="16" t="str">
        <f>IMAGE("https://lmztiles.s3.eu-west-1.amazonaws.com/Modern_Interiors_v41.3.4/1_Interiors/16x16/Theme_Sorter_Singles/6_Music_and_Sport/Music_and_Sport_Singles_245.png")</f>
        <v/>
      </c>
      <c r="C242" s="8" t="s">
        <v>1515</v>
      </c>
    </row>
    <row r="243" ht="33.75" customHeight="1">
      <c r="A243" s="16" t="s">
        <v>1517</v>
      </c>
      <c r="B243" s="16" t="str">
        <f>IMAGE("https://lmztiles.s3.eu-west-1.amazonaws.com/Modern_Interiors_v41.3.4/1_Interiors/16x16/Theme_Sorter_Singles/6_Music_and_Sport/Music_and_Sport_Singles_246.png")</f>
        <v/>
      </c>
      <c r="C243" s="8" t="s">
        <v>1515</v>
      </c>
    </row>
    <row r="244" ht="33.75" customHeight="1">
      <c r="A244" s="16" t="s">
        <v>1518</v>
      </c>
      <c r="B244" s="16" t="str">
        <f>IMAGE("https://lmztiles.s3.eu-west-1.amazonaws.com/Modern_Interiors_v41.3.4/1_Interiors/16x16/Theme_Sorter_Singles/6_Music_and_Sport/Music_and_Sport_Singles_247.png")</f>
        <v/>
      </c>
      <c r="C244" s="8" t="s">
        <v>1322</v>
      </c>
    </row>
    <row r="245" ht="33.75" customHeight="1">
      <c r="A245" s="16" t="s">
        <v>1519</v>
      </c>
      <c r="B245" s="16" t="str">
        <f>IMAGE("https://lmztiles.s3.eu-west-1.amazonaws.com/Modern_Interiors_v41.3.4/1_Interiors/16x16/Theme_Sorter_Singles/6_Music_and_Sport/Music_and_Sport_Singles_248.png")</f>
        <v/>
      </c>
      <c r="C245" s="8" t="s">
        <v>1322</v>
      </c>
    </row>
    <row r="246" ht="33.75" customHeight="1">
      <c r="A246" s="16" t="s">
        <v>1520</v>
      </c>
      <c r="B246" s="16" t="str">
        <f>IMAGE("https://lmztiles.s3.eu-west-1.amazonaws.com/Modern_Interiors_v41.3.4/1_Interiors/16x16/Theme_Sorter_Singles/6_Music_and_Sport/Music_and_Sport_Singles_249.png")</f>
        <v/>
      </c>
      <c r="C246" s="8" t="s">
        <v>1324</v>
      </c>
    </row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71"/>
    <col customWidth="1" min="3" max="3" width="124.86"/>
  </cols>
  <sheetData>
    <row r="1" ht="44.25" customHeight="1">
      <c r="A1" s="16" t="s">
        <v>1521</v>
      </c>
      <c r="B1" s="16" t="str">
        <f>IMAGE("https://lmztiles.s3.eu-west-1.amazonaws.com/Modern_Interiors_v41.3.4/1_Interiors/16x16/Theme_Sorter_Singles/7_Art_Singles/Art_Singles_1.png")</f>
        <v/>
      </c>
      <c r="C1" s="8" t="s">
        <v>1522</v>
      </c>
    </row>
    <row r="2" ht="44.25" customHeight="1">
      <c r="A2" s="16" t="s">
        <v>1523</v>
      </c>
      <c r="B2" s="16" t="str">
        <f>IMAGE("https://lmztiles.s3.eu-west-1.amazonaws.com/Modern_Interiors_v41.3.4/1_Interiors/16x16/Theme_Sorter_Singles/7_Art_Singles/Art_Singles_2.png")</f>
        <v/>
      </c>
      <c r="C2" s="8" t="s">
        <v>1522</v>
      </c>
    </row>
    <row r="3" ht="44.25" customHeight="1">
      <c r="A3" s="16" t="s">
        <v>1524</v>
      </c>
      <c r="B3" s="16" t="str">
        <f>IMAGE("https://lmztiles.s3.eu-west-1.amazonaws.com/Modern_Interiors_v41.3.4/1_Interiors/16x16/Theme_Sorter_Singles/7_Art_Singles/Art_Singles_3.png")</f>
        <v/>
      </c>
      <c r="C3" s="8" t="s">
        <v>1522</v>
      </c>
    </row>
    <row r="4" ht="44.25" customHeight="1">
      <c r="A4" s="16" t="s">
        <v>1525</v>
      </c>
      <c r="B4" s="16" t="str">
        <f>IMAGE("https://lmztiles.s3.eu-west-1.amazonaws.com/Modern_Interiors_v41.3.4/1_Interiors/16x16/Theme_Sorter_Singles/7_Art_Singles/Art_Singles_4.png")</f>
        <v/>
      </c>
      <c r="C4" s="8" t="s">
        <v>1522</v>
      </c>
    </row>
    <row r="5" ht="44.25" customHeight="1">
      <c r="A5" s="16" t="s">
        <v>1526</v>
      </c>
      <c r="B5" s="16" t="str">
        <f>IMAGE("https://lmztiles.s3.eu-west-1.amazonaws.com/Modern_Interiors_v41.3.4/1_Interiors/16x16/Theme_Sorter_Singles/7_Art_Singles/Art_Singles_5.png")</f>
        <v/>
      </c>
      <c r="C5" s="8" t="s">
        <v>1522</v>
      </c>
    </row>
    <row r="6" ht="44.25" customHeight="1">
      <c r="A6" s="16" t="s">
        <v>1527</v>
      </c>
      <c r="B6" s="16" t="str">
        <f>IMAGE("https://lmztiles.s3.eu-west-1.amazonaws.com/Modern_Interiors_v41.3.4/1_Interiors/16x16/Theme_Sorter_Singles/7_Art_Singles/Art_Singles_6.png")</f>
        <v/>
      </c>
      <c r="C6" s="8" t="s">
        <v>1522</v>
      </c>
    </row>
    <row r="7" ht="44.25" customHeight="1">
      <c r="A7" s="16" t="s">
        <v>1528</v>
      </c>
      <c r="B7" s="16" t="str">
        <f>IMAGE("https://lmztiles.s3.eu-west-1.amazonaws.com/Modern_Interiors_v41.3.4/1_Interiors/16x16/Theme_Sorter_Singles/7_Art_Singles/Art_Singles_7.png")</f>
        <v/>
      </c>
      <c r="C7" s="8" t="s">
        <v>1522</v>
      </c>
    </row>
    <row r="8" ht="44.25" customHeight="1">
      <c r="A8" s="16" t="s">
        <v>1529</v>
      </c>
      <c r="B8" s="16" t="str">
        <f>IMAGE("https://lmztiles.s3.eu-west-1.amazonaws.com/Modern_Interiors_v41.3.4/1_Interiors/16x16/Theme_Sorter_Singles/7_Art_Singles/Art_Singles_8.png")</f>
        <v/>
      </c>
      <c r="C8" s="8" t="s">
        <v>1522</v>
      </c>
    </row>
    <row r="9" ht="44.25" customHeight="1">
      <c r="A9" s="16" t="s">
        <v>1530</v>
      </c>
      <c r="B9" s="16" t="str">
        <f>IMAGE("https://lmztiles.s3.eu-west-1.amazonaws.com/Modern_Interiors_v41.3.4/1_Interiors/16x16/Theme_Sorter_Singles/7_Art_Singles/Art_Singles_9.png")</f>
        <v/>
      </c>
      <c r="C9" s="8" t="s">
        <v>1531</v>
      </c>
    </row>
    <row r="10" ht="44.25" customHeight="1">
      <c r="A10" s="16" t="s">
        <v>1532</v>
      </c>
      <c r="B10" s="16" t="str">
        <f>IMAGE("https://lmztiles.s3.eu-west-1.amazonaws.com/Modern_Interiors_v41.3.4/1_Interiors/16x16/Theme_Sorter_Singles/7_Art_Singles/Art_Singles_10.png")</f>
        <v/>
      </c>
      <c r="C10" s="8" t="s">
        <v>1531</v>
      </c>
    </row>
    <row r="11" ht="44.25" customHeight="1">
      <c r="A11" s="16" t="s">
        <v>1533</v>
      </c>
      <c r="B11" s="16" t="str">
        <f>IMAGE("https://lmztiles.s3.eu-west-1.amazonaws.com/Modern_Interiors_v41.3.4/1_Interiors/16x16/Theme_Sorter_Singles/7_Art_Singles/Art_Singles_11.png")</f>
        <v/>
      </c>
      <c r="C11" s="8" t="s">
        <v>1531</v>
      </c>
    </row>
    <row r="12" ht="44.25" customHeight="1">
      <c r="A12" s="16" t="s">
        <v>1534</v>
      </c>
      <c r="B12" s="16" t="str">
        <f>IMAGE("https://lmztiles.s3.eu-west-1.amazonaws.com/Modern_Interiors_v41.3.4/1_Interiors/16x16/Theme_Sorter_Singles/7_Art_Singles/Art_Singles_12.png")</f>
        <v/>
      </c>
      <c r="C12" s="8" t="s">
        <v>1535</v>
      </c>
    </row>
    <row r="13" ht="44.25" customHeight="1">
      <c r="A13" s="16" t="s">
        <v>1536</v>
      </c>
      <c r="B13" s="16" t="str">
        <f>IMAGE("https://lmztiles.s3.eu-west-1.amazonaws.com/Modern_Interiors_v41.3.4/1_Interiors/16x16/Theme_Sorter_Singles/7_Art_Singles/Art_Singles_13.png")</f>
        <v/>
      </c>
      <c r="C13" s="8" t="s">
        <v>1537</v>
      </c>
    </row>
    <row r="14" ht="44.25" customHeight="1">
      <c r="A14" s="16" t="s">
        <v>1538</v>
      </c>
      <c r="B14" s="16" t="str">
        <f>IMAGE("https://lmztiles.s3.eu-west-1.amazonaws.com/Modern_Interiors_v41.3.4/1_Interiors/16x16/Theme_Sorter_Singles/7_Art_Singles/Art_Singles_14.png")</f>
        <v/>
      </c>
      <c r="C14" s="8" t="s">
        <v>1539</v>
      </c>
    </row>
    <row r="15" ht="44.25" customHeight="1">
      <c r="A15" s="16" t="s">
        <v>1540</v>
      </c>
      <c r="B15" s="16" t="str">
        <f>IMAGE("https://lmztiles.s3.eu-west-1.amazonaws.com/Modern_Interiors_v41.3.4/1_Interiors/16x16/Theme_Sorter_Singles/7_Art_Singles/Art_Singles_15.png")</f>
        <v/>
      </c>
      <c r="C15" s="8" t="s">
        <v>1541</v>
      </c>
    </row>
    <row r="16" ht="44.25" customHeight="1">
      <c r="A16" s="16" t="s">
        <v>1542</v>
      </c>
      <c r="B16" s="16" t="str">
        <f>IMAGE("https://lmztiles.s3.eu-west-1.amazonaws.com/Modern_Interiors_v41.3.4/1_Interiors/16x16/Theme_Sorter_Singles/7_Art_Singles/Art_Singles_16.png")</f>
        <v/>
      </c>
      <c r="C16" s="8" t="s">
        <v>1543</v>
      </c>
    </row>
    <row r="17" ht="44.25" customHeight="1">
      <c r="A17" s="16" t="s">
        <v>1544</v>
      </c>
      <c r="B17" s="16" t="str">
        <f>IMAGE("https://lmztiles.s3.eu-west-1.amazonaws.com/Modern_Interiors_v41.3.4/1_Interiors/16x16/Theme_Sorter_Singles/7_Art_Singles/Art_Singles_17.png")</f>
        <v/>
      </c>
      <c r="C17" s="8" t="s">
        <v>1541</v>
      </c>
    </row>
    <row r="18" ht="44.25" customHeight="1">
      <c r="A18" s="16" t="s">
        <v>1545</v>
      </c>
      <c r="B18" s="16" t="str">
        <f>IMAGE("https://lmztiles.s3.eu-west-1.amazonaws.com/Modern_Interiors_v41.3.4/1_Interiors/16x16/Theme_Sorter_Singles/7_Art_Singles/Art_Singles_18.png")</f>
        <v/>
      </c>
      <c r="C18" s="8" t="s">
        <v>1546</v>
      </c>
    </row>
    <row r="19" ht="44.25" customHeight="1">
      <c r="A19" s="16" t="s">
        <v>1547</v>
      </c>
      <c r="B19" s="16" t="str">
        <f>IMAGE("https://lmztiles.s3.eu-west-1.amazonaws.com/Modern_Interiors_v41.3.4/1_Interiors/16x16/Theme_Sorter_Singles/7_Art_Singles/Art_Singles_19.png")</f>
        <v/>
      </c>
      <c r="C19" s="8" t="s">
        <v>1548</v>
      </c>
    </row>
    <row r="20" ht="44.25" customHeight="1">
      <c r="A20" s="16" t="s">
        <v>1549</v>
      </c>
      <c r="B20" s="16" t="str">
        <f>IMAGE("https://lmztiles.s3.eu-west-1.amazonaws.com/Modern_Interiors_v41.3.4/1_Interiors/16x16/Theme_Sorter_Singles/7_Art_Singles/Art_Singles_20.png")</f>
        <v/>
      </c>
      <c r="C20" s="8" t="s">
        <v>1548</v>
      </c>
    </row>
    <row r="21" ht="44.25" customHeight="1">
      <c r="A21" s="16" t="s">
        <v>1550</v>
      </c>
      <c r="B21" s="16" t="str">
        <f>IMAGE("https://lmztiles.s3.eu-west-1.amazonaws.com/Modern_Interiors_v41.3.4/1_Interiors/16x16/Theme_Sorter_Singles/7_Art_Singles/Art_Singles_21.png")</f>
        <v/>
      </c>
      <c r="C21" s="8" t="s">
        <v>1551</v>
      </c>
    </row>
    <row r="22" ht="44.25" customHeight="1">
      <c r="A22" s="16" t="s">
        <v>1552</v>
      </c>
      <c r="B22" s="16" t="str">
        <f>IMAGE("https://lmztiles.s3.eu-west-1.amazonaws.com/Modern_Interiors_v41.3.4/1_Interiors/16x16/Theme_Sorter_Singles/7_Art_Singles/Art_Singles_22.png")</f>
        <v/>
      </c>
      <c r="C22" s="8" t="s">
        <v>1553</v>
      </c>
    </row>
    <row r="23" ht="44.25" customHeight="1">
      <c r="A23" s="16" t="s">
        <v>1554</v>
      </c>
      <c r="B23" s="16" t="str">
        <f>IMAGE("https://lmztiles.s3.eu-west-1.amazonaws.com/Modern_Interiors_v41.3.4/1_Interiors/16x16/Theme_Sorter_Singles/7_Art_Singles/Art_Singles_23.png")</f>
        <v/>
      </c>
      <c r="C23" s="8" t="s">
        <v>1555</v>
      </c>
    </row>
    <row r="24" ht="44.25" customHeight="1">
      <c r="A24" s="16" t="s">
        <v>1556</v>
      </c>
      <c r="B24" s="16" t="str">
        <f>IMAGE("https://lmztiles.s3.eu-west-1.amazonaws.com/Modern_Interiors_v41.3.4/1_Interiors/16x16/Theme_Sorter_Singles/7_Art_Singles/Art_Singles_24.png")</f>
        <v/>
      </c>
      <c r="C24" s="8" t="s">
        <v>1555</v>
      </c>
    </row>
    <row r="25" ht="44.25" customHeight="1">
      <c r="A25" s="16" t="s">
        <v>1557</v>
      </c>
      <c r="B25" s="16" t="str">
        <f>IMAGE("https://lmztiles.s3.eu-west-1.amazonaws.com/Modern_Interiors_v41.3.4/1_Interiors/16x16/Theme_Sorter_Singles/7_Art_Singles/Art_Singles_25.png")</f>
        <v/>
      </c>
      <c r="C25" s="8" t="s">
        <v>1555</v>
      </c>
    </row>
    <row r="26" ht="44.25" customHeight="1">
      <c r="A26" s="16" t="s">
        <v>1558</v>
      </c>
      <c r="B26" s="16" t="str">
        <f>IMAGE("https://lmztiles.s3.eu-west-1.amazonaws.com/Modern_Interiors_v41.3.4/1_Interiors/16x16/Theme_Sorter_Singles/7_Art_Singles/Art_Singles_26.png")</f>
        <v/>
      </c>
      <c r="C26" s="8" t="s">
        <v>1553</v>
      </c>
    </row>
    <row r="27" ht="44.25" customHeight="1">
      <c r="A27" s="16" t="s">
        <v>1559</v>
      </c>
      <c r="B27" s="16" t="str">
        <f>IMAGE("https://lmztiles.s3.eu-west-1.amazonaws.com/Modern_Interiors_v41.3.4/1_Interiors/16x16/Theme_Sorter_Singles/7_Art_Singles/Art_Singles_27.png")</f>
        <v/>
      </c>
      <c r="C27" s="8" t="s">
        <v>1555</v>
      </c>
    </row>
    <row r="28" ht="44.25" customHeight="1">
      <c r="A28" s="16" t="s">
        <v>1560</v>
      </c>
      <c r="B28" s="16" t="str">
        <f>IMAGE("https://lmztiles.s3.eu-west-1.amazonaws.com/Modern_Interiors_v41.3.4/1_Interiors/16x16/Theme_Sorter_Singles/7_Art_Singles/Art_Singles_28.png")</f>
        <v/>
      </c>
      <c r="C28" s="8" t="s">
        <v>1555</v>
      </c>
    </row>
    <row r="29" ht="44.25" customHeight="1">
      <c r="A29" s="16" t="s">
        <v>1561</v>
      </c>
      <c r="B29" s="16" t="str">
        <f>IMAGE("https://lmztiles.s3.eu-west-1.amazonaws.com/Modern_Interiors_v41.3.4/1_Interiors/16x16/Theme_Sorter_Singles/7_Art_Singles/Art_Singles_29.png")</f>
        <v/>
      </c>
      <c r="C29" s="8" t="s">
        <v>1555</v>
      </c>
    </row>
    <row r="30" ht="44.25" customHeight="1">
      <c r="A30" s="16" t="s">
        <v>1562</v>
      </c>
      <c r="B30" s="16" t="str">
        <f>IMAGE("https://lmztiles.s3.eu-west-1.amazonaws.com/Modern_Interiors_v41.3.4/1_Interiors/16x16/Theme_Sorter_Singles/7_Art_Singles/Art_Singles_30.png")</f>
        <v/>
      </c>
      <c r="C30" s="8" t="s">
        <v>1563</v>
      </c>
    </row>
    <row r="31" ht="44.25" customHeight="1">
      <c r="A31" s="16" t="s">
        <v>1564</v>
      </c>
      <c r="B31" s="16" t="str">
        <f>IMAGE("https://lmztiles.s3.eu-west-1.amazonaws.com/Modern_Interiors_v41.3.4/1_Interiors/16x16/Theme_Sorter_Singles/7_Art_Singles/Art_Singles_31.png")</f>
        <v/>
      </c>
      <c r="C31" s="8" t="s">
        <v>1563</v>
      </c>
    </row>
    <row r="32" ht="44.25" customHeight="1">
      <c r="A32" s="16" t="s">
        <v>1565</v>
      </c>
      <c r="B32" s="16" t="str">
        <f>IMAGE("https://lmztiles.s3.eu-west-1.amazonaws.com/Modern_Interiors_v41.3.4/1_Interiors/16x16/Theme_Sorter_Singles/7_Art_Singles/Art_Singles_32.png")</f>
        <v/>
      </c>
      <c r="C32" s="8" t="s">
        <v>1563</v>
      </c>
    </row>
    <row r="33" ht="44.25" customHeight="1">
      <c r="A33" s="16" t="s">
        <v>1566</v>
      </c>
      <c r="B33" s="16" t="str">
        <f>IMAGE("https://lmztiles.s3.eu-west-1.amazonaws.com/Modern_Interiors_v41.3.4/1_Interiors/16x16/Theme_Sorter_Singles/7_Art_Singles/Art_Singles_33.png")</f>
        <v/>
      </c>
      <c r="C33" s="8" t="s">
        <v>1567</v>
      </c>
    </row>
    <row r="34" ht="44.25" customHeight="1">
      <c r="A34" s="16" t="s">
        <v>1568</v>
      </c>
      <c r="B34" s="16" t="str">
        <f>IMAGE("https://lmztiles.s3.eu-west-1.amazonaws.com/Modern_Interiors_v41.3.4/1_Interiors/16x16/Theme_Sorter_Singles/7_Art_Singles/Art_Singles_34.png")</f>
        <v/>
      </c>
      <c r="C34" s="8" t="s">
        <v>1569</v>
      </c>
    </row>
    <row r="35" ht="44.25" customHeight="1">
      <c r="A35" s="16" t="s">
        <v>1570</v>
      </c>
      <c r="B35" s="16" t="str">
        <f>IMAGE("https://lmztiles.s3.eu-west-1.amazonaws.com/Modern_Interiors_v41.3.4/1_Interiors/16x16/Theme_Sorter_Singles/7_Art_Singles/Art_Singles_35.png")</f>
        <v/>
      </c>
      <c r="C35" s="8" t="s">
        <v>1571</v>
      </c>
    </row>
    <row r="36" ht="44.25" customHeight="1">
      <c r="A36" s="16" t="s">
        <v>1572</v>
      </c>
      <c r="B36" s="16" t="str">
        <f>IMAGE("https://lmztiles.s3.eu-west-1.amazonaws.com/Modern_Interiors_v41.3.4/1_Interiors/16x16/Theme_Sorter_Singles/7_Art_Singles/Art_Singles_36.png")</f>
        <v/>
      </c>
      <c r="C36" s="8" t="s">
        <v>1571</v>
      </c>
    </row>
    <row r="37" ht="44.25" customHeight="1">
      <c r="A37" s="16" t="s">
        <v>1573</v>
      </c>
      <c r="B37" s="16" t="str">
        <f>IMAGE("https://lmztiles.s3.eu-west-1.amazonaws.com/Modern_Interiors_v41.3.4/1_Interiors/16x16/Theme_Sorter_Singles/7_Art_Singles/Art_Singles_37.png")</f>
        <v/>
      </c>
      <c r="C37" s="8" t="s">
        <v>1571</v>
      </c>
    </row>
    <row r="38" ht="44.25" customHeight="1">
      <c r="A38" s="16" t="s">
        <v>1574</v>
      </c>
      <c r="B38" s="16" t="str">
        <f>IMAGE("https://lmztiles.s3.eu-west-1.amazonaws.com/Modern_Interiors_v41.3.4/1_Interiors/16x16/Theme_Sorter_Singles/7_Art_Singles/Art_Singles_38.png")</f>
        <v/>
      </c>
      <c r="C38" s="8" t="s">
        <v>1571</v>
      </c>
    </row>
    <row r="39" ht="44.25" customHeight="1">
      <c r="A39" s="16" t="s">
        <v>1575</v>
      </c>
      <c r="B39" s="16" t="str">
        <f>IMAGE("https://lmztiles.s3.eu-west-1.amazonaws.com/Modern_Interiors_v41.3.4/1_Interiors/16x16/Theme_Sorter_Singles/7_Art_Singles/Art_Singles_39.png")</f>
        <v/>
      </c>
      <c r="C39" s="8" t="s">
        <v>1571</v>
      </c>
    </row>
    <row r="40" ht="44.25" customHeight="1">
      <c r="A40" s="16" t="s">
        <v>1576</v>
      </c>
      <c r="B40" s="16" t="str">
        <f>IMAGE("https://lmztiles.s3.eu-west-1.amazonaws.com/Modern_Interiors_v41.3.4/1_Interiors/16x16/Theme_Sorter_Singles/7_Art_Singles/Art_Singles_40.png")</f>
        <v/>
      </c>
      <c r="C40" s="8" t="s">
        <v>1571</v>
      </c>
    </row>
    <row r="41" ht="44.25" customHeight="1">
      <c r="A41" s="16" t="s">
        <v>1577</v>
      </c>
      <c r="B41" s="16" t="str">
        <f>IMAGE("https://lmztiles.s3.eu-west-1.amazonaws.com/Modern_Interiors_v41.3.4/1_Interiors/16x16/Theme_Sorter_Singles/7_Art_Singles/Art_Singles_41.png")</f>
        <v/>
      </c>
      <c r="C41" s="8" t="s">
        <v>1578</v>
      </c>
    </row>
    <row r="42" ht="44.25" customHeight="1">
      <c r="A42" s="16" t="s">
        <v>1579</v>
      </c>
      <c r="B42" s="16" t="str">
        <f>IMAGE("https://lmztiles.s3.eu-west-1.amazonaws.com/Modern_Interiors_v41.3.4/1_Interiors/16x16/Theme_Sorter_Singles/7_Art_Singles/Art_Singles_42.png")</f>
        <v/>
      </c>
      <c r="C42" s="8" t="s">
        <v>1578</v>
      </c>
    </row>
    <row r="43" ht="44.25" customHeight="1">
      <c r="A43" s="16" t="s">
        <v>1580</v>
      </c>
      <c r="B43" s="16" t="str">
        <f>IMAGE("https://lmztiles.s3.eu-west-1.amazonaws.com/Modern_Interiors_v41.3.4/1_Interiors/16x16/Theme_Sorter_Singles/7_Art_Singles/Art_Singles_43.png")</f>
        <v/>
      </c>
      <c r="C43" s="8" t="s">
        <v>1578</v>
      </c>
    </row>
    <row r="44" ht="44.25" customHeight="1">
      <c r="A44" s="16" t="s">
        <v>1581</v>
      </c>
      <c r="B44" s="16" t="str">
        <f>IMAGE("https://lmztiles.s3.eu-west-1.amazonaws.com/Modern_Interiors_v41.3.4/1_Interiors/16x16/Theme_Sorter_Singles/7_Art_Singles/Art_Singles_44.png")</f>
        <v/>
      </c>
      <c r="C44" s="8" t="s">
        <v>1578</v>
      </c>
    </row>
    <row r="45" ht="44.25" customHeight="1">
      <c r="A45" s="16" t="s">
        <v>1582</v>
      </c>
      <c r="B45" s="16" t="str">
        <f>IMAGE("https://lmztiles.s3.eu-west-1.amazonaws.com/Modern_Interiors_v41.3.4/1_Interiors/16x16/Theme_Sorter_Singles/7_Art_Singles/Art_Singles_45.png")</f>
        <v/>
      </c>
      <c r="C45" s="8" t="s">
        <v>1578</v>
      </c>
    </row>
    <row r="46" ht="44.25" customHeight="1">
      <c r="A46" s="16" t="s">
        <v>1583</v>
      </c>
      <c r="B46" s="16" t="str">
        <f>IMAGE("https://lmztiles.s3.eu-west-1.amazonaws.com/Modern_Interiors_v41.3.4/1_Interiors/16x16/Theme_Sorter_Singles/7_Art_Singles/Art_Singles_46.png")</f>
        <v/>
      </c>
      <c r="C46" s="8" t="s">
        <v>1578</v>
      </c>
    </row>
    <row r="47" ht="44.25" customHeight="1"/>
    <row r="48" ht="44.25" customHeight="1"/>
    <row r="49" ht="44.25" customHeight="1"/>
    <row r="50" ht="44.25" customHeight="1"/>
    <row r="51" ht="44.25" customHeight="1"/>
    <row r="52" ht="44.25" customHeight="1"/>
    <row r="53" ht="44.25" customHeight="1"/>
    <row r="54" ht="44.25" customHeight="1"/>
    <row r="55" ht="44.25" customHeight="1"/>
    <row r="56" ht="44.25" customHeight="1"/>
    <row r="57" ht="44.25" customHeight="1"/>
    <row r="58" ht="44.25" customHeight="1"/>
    <row r="59" ht="44.25" customHeight="1"/>
    <row r="60" ht="44.25" customHeight="1"/>
    <row r="61" ht="44.25" customHeight="1"/>
    <row r="62" ht="44.25" customHeight="1"/>
    <row r="63" ht="44.25" customHeight="1"/>
    <row r="64" ht="44.25" customHeight="1"/>
    <row r="65" ht="44.25" customHeight="1"/>
    <row r="66" ht="44.25" customHeight="1"/>
    <row r="67" ht="44.25" customHeight="1"/>
    <row r="68" ht="44.25" customHeight="1"/>
    <row r="69" ht="44.25" customHeight="1"/>
    <row r="70" ht="44.25" customHeight="1"/>
    <row r="71" ht="44.25" customHeight="1"/>
    <row r="72" ht="44.25" customHeight="1"/>
    <row r="73" ht="44.25" customHeight="1"/>
    <row r="74" ht="44.25" customHeight="1"/>
    <row r="75" ht="44.25" customHeight="1"/>
    <row r="76" ht="44.25" customHeight="1"/>
    <row r="77" ht="44.25" customHeight="1"/>
    <row r="78" ht="44.25" customHeight="1"/>
    <row r="79" ht="44.25" customHeight="1"/>
    <row r="80" ht="44.25" customHeight="1"/>
    <row r="81" ht="44.25" customHeight="1"/>
    <row r="82" ht="44.25" customHeight="1"/>
    <row r="83" ht="44.25" customHeight="1"/>
    <row r="84" ht="44.25" customHeight="1"/>
    <row r="85" ht="44.25" customHeight="1"/>
    <row r="86" ht="44.25" customHeight="1"/>
    <row r="87" ht="44.25" customHeight="1"/>
    <row r="88" ht="44.25" customHeight="1"/>
    <row r="89" ht="44.25" customHeight="1"/>
    <row r="90" ht="44.25" customHeight="1"/>
    <row r="91" ht="44.25" customHeight="1"/>
    <row r="92" ht="44.25" customHeight="1"/>
    <row r="93" ht="44.25" customHeight="1"/>
    <row r="94" ht="44.25" customHeight="1"/>
    <row r="95" ht="44.25" customHeight="1"/>
    <row r="96" ht="44.25" customHeight="1"/>
    <row r="97" ht="44.25" customHeight="1"/>
    <row r="98" ht="44.25" customHeight="1"/>
    <row r="99" ht="44.25" customHeight="1"/>
    <row r="100" ht="44.25" customHeight="1"/>
    <row r="101" ht="44.25" customHeight="1"/>
    <row r="102" ht="44.25" customHeight="1"/>
    <row r="103" ht="44.25" customHeight="1"/>
    <row r="104" ht="44.25" customHeight="1"/>
    <row r="105" ht="44.25" customHeight="1"/>
    <row r="106" ht="44.25" customHeight="1"/>
    <row r="107" ht="44.25" customHeight="1"/>
    <row r="108" ht="44.25" customHeight="1"/>
    <row r="109" ht="44.25" customHeight="1"/>
    <row r="110" ht="44.25" customHeight="1"/>
    <row r="111" ht="44.25" customHeight="1"/>
    <row r="112" ht="44.25" customHeight="1"/>
    <row r="113" ht="44.25" customHeight="1"/>
    <row r="114" ht="44.25" customHeight="1"/>
    <row r="115" ht="44.25" customHeight="1"/>
    <row r="116" ht="44.25" customHeight="1"/>
    <row r="117" ht="44.25" customHeight="1"/>
    <row r="118" ht="44.25" customHeight="1"/>
    <row r="119" ht="44.25" customHeight="1"/>
    <row r="120" ht="44.25" customHeight="1"/>
    <row r="121" ht="44.25" customHeight="1"/>
    <row r="122" ht="44.25" customHeight="1"/>
    <row r="123" ht="44.25" customHeight="1"/>
    <row r="124" ht="44.25" customHeight="1"/>
    <row r="125" ht="44.25" customHeight="1"/>
    <row r="126" ht="44.25" customHeight="1"/>
    <row r="127" ht="44.25" customHeight="1"/>
    <row r="128" ht="44.25" customHeight="1"/>
    <row r="129" ht="44.25" customHeight="1"/>
    <row r="130" ht="44.25" customHeight="1"/>
    <row r="131" ht="44.25" customHeight="1"/>
    <row r="132" ht="44.25" customHeight="1"/>
    <row r="133" ht="44.25" customHeight="1"/>
    <row r="134" ht="44.25" customHeight="1"/>
    <row r="135" ht="44.25" customHeight="1"/>
    <row r="136" ht="44.25" customHeight="1"/>
    <row r="137" ht="44.25" customHeight="1"/>
    <row r="138" ht="44.25" customHeight="1"/>
    <row r="139" ht="44.25" customHeight="1"/>
    <row r="140" ht="44.25" customHeight="1"/>
    <row r="141" ht="44.25" customHeight="1"/>
    <row r="142" ht="44.25" customHeight="1"/>
    <row r="143" ht="44.25" customHeight="1"/>
    <row r="144" ht="44.25" customHeight="1"/>
    <row r="145" ht="44.25" customHeight="1"/>
    <row r="146" ht="44.25" customHeight="1"/>
    <row r="147" ht="44.25" customHeight="1"/>
    <row r="148" ht="44.25" customHeight="1"/>
    <row r="149" ht="44.25" customHeight="1"/>
    <row r="150" ht="44.25" customHeight="1"/>
    <row r="151" ht="44.25" customHeight="1"/>
    <row r="152" ht="44.25" customHeight="1"/>
    <row r="153" ht="44.25" customHeight="1"/>
    <row r="154" ht="44.25" customHeight="1"/>
    <row r="155" ht="44.25" customHeight="1"/>
    <row r="156" ht="44.25" customHeight="1"/>
    <row r="157" ht="44.25" customHeight="1"/>
    <row r="158" ht="44.25" customHeight="1"/>
    <row r="159" ht="44.25" customHeight="1"/>
    <row r="160" ht="44.25" customHeight="1"/>
    <row r="161" ht="44.25" customHeight="1"/>
    <row r="162" ht="44.25" customHeight="1"/>
    <row r="163" ht="44.25" customHeight="1"/>
    <row r="164" ht="44.25" customHeight="1"/>
    <row r="165" ht="44.25" customHeight="1"/>
    <row r="166" ht="44.25" customHeight="1"/>
    <row r="167" ht="44.25" customHeight="1"/>
    <row r="168" ht="44.25" customHeight="1"/>
    <row r="169" ht="44.25" customHeight="1"/>
    <row r="170" ht="44.25" customHeight="1"/>
    <row r="171" ht="44.25" customHeight="1"/>
    <row r="172" ht="44.25" customHeight="1"/>
    <row r="173" ht="44.25" customHeight="1"/>
    <row r="174" ht="44.25" customHeight="1"/>
    <row r="175" ht="44.25" customHeight="1"/>
    <row r="176" ht="44.25" customHeight="1"/>
    <row r="177" ht="44.25" customHeight="1"/>
    <row r="178" ht="44.25" customHeight="1"/>
    <row r="179" ht="44.25" customHeight="1"/>
    <row r="180" ht="44.25" customHeight="1"/>
    <row r="181" ht="44.25" customHeight="1"/>
    <row r="182" ht="44.25" customHeight="1"/>
    <row r="183" ht="44.25" customHeight="1"/>
    <row r="184" ht="44.25" customHeight="1"/>
    <row r="185" ht="44.25" customHeight="1"/>
    <row r="186" ht="44.25" customHeight="1"/>
    <row r="187" ht="44.25" customHeight="1"/>
    <row r="188" ht="44.25" customHeight="1"/>
    <row r="189" ht="44.25" customHeight="1"/>
    <row r="190" ht="44.25" customHeight="1"/>
    <row r="191" ht="44.25" customHeight="1"/>
    <row r="192" ht="44.25" customHeight="1"/>
    <row r="193" ht="44.25" customHeight="1"/>
    <row r="194" ht="44.25" customHeight="1"/>
    <row r="195" ht="44.25" customHeight="1"/>
    <row r="196" ht="44.25" customHeight="1"/>
    <row r="197" ht="44.25" customHeight="1"/>
    <row r="198" ht="44.25" customHeight="1"/>
    <row r="199" ht="44.25" customHeight="1"/>
    <row r="200" ht="44.25" customHeight="1"/>
    <row r="201" ht="44.25" customHeight="1"/>
    <row r="202" ht="44.25" customHeight="1"/>
    <row r="203" ht="44.25" customHeight="1"/>
    <row r="204" ht="44.25" customHeight="1"/>
    <row r="205" ht="44.25" customHeight="1"/>
    <row r="206" ht="44.25" customHeight="1"/>
    <row r="207" ht="44.25" customHeight="1"/>
    <row r="208" ht="44.25" customHeight="1"/>
    <row r="209" ht="44.25" customHeight="1"/>
    <row r="210" ht="44.25" customHeight="1"/>
    <row r="211" ht="44.25" customHeight="1"/>
    <row r="212" ht="44.25" customHeight="1"/>
    <row r="213" ht="44.25" customHeight="1"/>
    <row r="214" ht="44.25" customHeight="1"/>
    <row r="215" ht="44.25" customHeight="1"/>
    <row r="216" ht="44.25" customHeight="1"/>
    <row r="217" ht="44.25" customHeight="1"/>
    <row r="218" ht="44.25" customHeight="1"/>
    <row r="219" ht="44.25" customHeight="1"/>
    <row r="220" ht="44.25" customHeight="1"/>
    <row r="221" ht="44.25" customHeight="1"/>
    <row r="222" ht="44.25" customHeight="1"/>
    <row r="223" ht="44.25" customHeight="1"/>
    <row r="224" ht="44.25" customHeight="1"/>
    <row r="225" ht="44.25" customHeight="1"/>
    <row r="226" ht="44.25" customHeight="1"/>
    <row r="227" ht="44.25" customHeight="1"/>
    <row r="228" ht="44.25" customHeight="1"/>
    <row r="229" ht="44.25" customHeight="1"/>
    <row r="230" ht="44.25" customHeight="1"/>
    <row r="231" ht="44.25" customHeight="1"/>
    <row r="232" ht="44.25" customHeight="1"/>
    <row r="233" ht="44.25" customHeight="1"/>
    <row r="234" ht="44.25" customHeight="1"/>
    <row r="235" ht="44.25" customHeight="1"/>
    <row r="236" ht="44.25" customHeight="1"/>
    <row r="237" ht="44.25" customHeight="1"/>
    <row r="238" ht="44.25" customHeight="1"/>
    <row r="239" ht="44.25" customHeight="1"/>
    <row r="240" ht="44.25" customHeight="1"/>
    <row r="241" ht="44.25" customHeight="1"/>
    <row r="242" ht="44.25" customHeight="1"/>
    <row r="243" ht="44.25" customHeight="1"/>
    <row r="244" ht="44.25" customHeight="1"/>
    <row r="245" ht="44.25" customHeight="1"/>
    <row r="246" ht="44.25" customHeight="1"/>
    <row r="247" ht="44.25" customHeight="1"/>
    <row r="248" ht="44.25" customHeight="1"/>
    <row r="249" ht="44.25" customHeight="1"/>
    <row r="250" ht="44.25" customHeight="1"/>
    <row r="251" ht="44.25" customHeight="1"/>
    <row r="252" ht="44.25" customHeight="1"/>
    <row r="253" ht="44.25" customHeight="1"/>
    <row r="254" ht="44.25" customHeight="1"/>
    <row r="255" ht="44.25" customHeight="1"/>
    <row r="256" ht="44.25" customHeight="1"/>
    <row r="257" ht="44.25" customHeight="1"/>
    <row r="258" ht="44.25" customHeight="1"/>
    <row r="259" ht="44.25" customHeight="1"/>
    <row r="260" ht="44.25" customHeight="1"/>
    <row r="261" ht="44.25" customHeight="1"/>
    <row r="262" ht="44.25" customHeight="1"/>
    <row r="263" ht="44.25" customHeight="1"/>
    <row r="264" ht="44.25" customHeight="1"/>
    <row r="265" ht="44.25" customHeight="1"/>
    <row r="266" ht="44.25" customHeight="1"/>
    <row r="267" ht="44.25" customHeight="1"/>
    <row r="268" ht="44.25" customHeight="1"/>
    <row r="269" ht="44.25" customHeight="1"/>
    <row r="270" ht="44.25" customHeight="1"/>
    <row r="271" ht="44.25" customHeight="1"/>
    <row r="272" ht="44.25" customHeight="1"/>
    <row r="273" ht="44.25" customHeight="1"/>
    <row r="274" ht="44.25" customHeight="1"/>
    <row r="275" ht="44.25" customHeight="1"/>
    <row r="276" ht="44.25" customHeight="1"/>
    <row r="277" ht="44.25" customHeight="1"/>
    <row r="278" ht="44.25" customHeight="1"/>
    <row r="279" ht="44.25" customHeight="1"/>
    <row r="280" ht="44.25" customHeight="1"/>
    <row r="281" ht="44.25" customHeight="1"/>
    <row r="282" ht="44.25" customHeight="1"/>
    <row r="283" ht="44.25" customHeight="1"/>
    <row r="284" ht="44.25" customHeight="1"/>
    <row r="285" ht="44.25" customHeight="1"/>
    <row r="286" ht="44.25" customHeight="1"/>
    <row r="287" ht="44.25" customHeight="1"/>
    <row r="288" ht="44.25" customHeight="1"/>
    <row r="289" ht="44.25" customHeight="1"/>
    <row r="290" ht="44.25" customHeight="1"/>
    <row r="291" ht="44.25" customHeight="1"/>
    <row r="292" ht="44.25" customHeight="1"/>
    <row r="293" ht="44.25" customHeight="1"/>
    <row r="294" ht="44.25" customHeight="1"/>
    <row r="295" ht="44.25" customHeight="1"/>
    <row r="296" ht="44.25" customHeight="1"/>
    <row r="297" ht="44.25" customHeight="1"/>
    <row r="298" ht="44.25" customHeight="1"/>
    <row r="299" ht="44.25" customHeight="1"/>
    <row r="300" ht="44.25" customHeight="1"/>
    <row r="301" ht="44.25" customHeight="1"/>
    <row r="302" ht="44.25" customHeight="1"/>
    <row r="303" ht="44.25" customHeight="1"/>
    <row r="304" ht="44.25" customHeight="1"/>
    <row r="305" ht="44.25" customHeight="1"/>
    <row r="306" ht="44.25" customHeight="1"/>
    <row r="307" ht="44.25" customHeight="1"/>
    <row r="308" ht="44.25" customHeight="1"/>
    <row r="309" ht="44.25" customHeight="1"/>
    <row r="310" ht="44.25" customHeight="1"/>
    <row r="311" ht="44.25" customHeight="1"/>
    <row r="312" ht="44.25" customHeight="1"/>
    <row r="313" ht="44.25" customHeight="1"/>
    <row r="314" ht="44.25" customHeight="1"/>
    <row r="315" ht="44.25" customHeight="1"/>
    <row r="316" ht="44.25" customHeight="1"/>
    <row r="317" ht="44.25" customHeight="1"/>
    <row r="318" ht="44.25" customHeight="1"/>
    <row r="319" ht="44.25" customHeight="1"/>
    <row r="320" ht="44.25" customHeight="1"/>
    <row r="321" ht="44.25" customHeight="1"/>
    <row r="322" ht="44.25" customHeight="1"/>
    <row r="323" ht="44.25" customHeight="1"/>
    <row r="324" ht="44.25" customHeight="1"/>
    <row r="325" ht="44.25" customHeight="1"/>
    <row r="326" ht="44.25" customHeight="1"/>
    <row r="327" ht="44.25" customHeight="1"/>
    <row r="328" ht="44.25" customHeight="1"/>
    <row r="329" ht="44.25" customHeight="1"/>
    <row r="330" ht="44.25" customHeight="1"/>
    <row r="331" ht="44.25" customHeight="1"/>
    <row r="332" ht="44.25" customHeight="1"/>
    <row r="333" ht="44.25" customHeight="1"/>
    <row r="334" ht="44.25" customHeight="1"/>
    <row r="335" ht="44.25" customHeight="1"/>
    <row r="336" ht="44.25" customHeight="1"/>
    <row r="337" ht="44.25" customHeight="1"/>
    <row r="338" ht="44.25" customHeight="1"/>
    <row r="339" ht="44.25" customHeight="1"/>
    <row r="340" ht="44.25" customHeight="1"/>
    <row r="341" ht="44.25" customHeight="1"/>
    <row r="342" ht="44.25" customHeight="1"/>
    <row r="343" ht="44.25" customHeight="1"/>
    <row r="344" ht="44.25" customHeight="1"/>
    <row r="345" ht="44.25" customHeight="1"/>
    <row r="346" ht="44.25" customHeight="1"/>
    <row r="347" ht="44.25" customHeight="1"/>
    <row r="348" ht="44.25" customHeight="1"/>
    <row r="349" ht="44.25" customHeight="1"/>
    <row r="350" ht="44.25" customHeight="1"/>
    <row r="351" ht="44.25" customHeight="1"/>
    <row r="352" ht="44.25" customHeight="1"/>
    <row r="353" ht="44.25" customHeight="1"/>
    <row r="354" ht="44.25" customHeight="1"/>
    <row r="355" ht="44.25" customHeight="1"/>
    <row r="356" ht="44.25" customHeight="1"/>
    <row r="357" ht="44.25" customHeight="1"/>
    <row r="358" ht="44.25" customHeight="1"/>
    <row r="359" ht="44.25" customHeight="1"/>
    <row r="360" ht="44.25" customHeight="1"/>
    <row r="361" ht="44.25" customHeight="1"/>
    <row r="362" ht="44.25" customHeight="1"/>
    <row r="363" ht="44.25" customHeight="1"/>
    <row r="364" ht="44.25" customHeight="1"/>
    <row r="365" ht="44.25" customHeight="1"/>
    <row r="366" ht="44.25" customHeight="1"/>
    <row r="367" ht="44.25" customHeight="1"/>
    <row r="368" ht="44.25" customHeight="1"/>
    <row r="369" ht="44.25" customHeight="1"/>
    <row r="370" ht="44.25" customHeight="1"/>
    <row r="371" ht="44.25" customHeight="1"/>
    <row r="372" ht="44.25" customHeight="1"/>
    <row r="373" ht="44.25" customHeight="1"/>
    <row r="374" ht="44.25" customHeight="1"/>
    <row r="375" ht="44.25" customHeight="1"/>
    <row r="376" ht="44.25" customHeight="1"/>
    <row r="377" ht="44.25" customHeight="1"/>
    <row r="378" ht="44.25" customHeight="1"/>
    <row r="379" ht="44.25" customHeight="1"/>
    <row r="380" ht="44.25" customHeight="1"/>
    <row r="381" ht="44.25" customHeight="1"/>
    <row r="382" ht="44.25" customHeight="1"/>
    <row r="383" ht="44.25" customHeight="1"/>
    <row r="384" ht="44.25" customHeight="1"/>
    <row r="385" ht="44.25" customHeight="1"/>
    <row r="386" ht="44.25" customHeight="1"/>
    <row r="387" ht="44.25" customHeight="1"/>
    <row r="388" ht="44.25" customHeight="1"/>
    <row r="389" ht="44.25" customHeight="1"/>
    <row r="390" ht="44.25" customHeight="1"/>
    <row r="391" ht="44.25" customHeight="1"/>
    <row r="392" ht="44.25" customHeight="1"/>
    <row r="393" ht="44.25" customHeight="1"/>
    <row r="394" ht="44.25" customHeight="1"/>
    <row r="395" ht="44.25" customHeight="1"/>
    <row r="396" ht="44.25" customHeight="1"/>
    <row r="397" ht="44.25" customHeight="1"/>
    <row r="398" ht="44.25" customHeight="1"/>
    <row r="399" ht="44.25" customHeight="1"/>
    <row r="400" ht="44.25" customHeight="1"/>
    <row r="401" ht="44.25" customHeight="1"/>
    <row r="402" ht="44.25" customHeight="1"/>
    <row r="403" ht="44.25" customHeight="1"/>
    <row r="404" ht="44.25" customHeight="1"/>
    <row r="405" ht="44.25" customHeight="1"/>
    <row r="406" ht="44.25" customHeight="1"/>
    <row r="407" ht="44.25" customHeight="1"/>
    <row r="408" ht="44.25" customHeight="1"/>
    <row r="409" ht="44.25" customHeight="1"/>
    <row r="410" ht="44.25" customHeight="1"/>
    <row r="411" ht="44.25" customHeight="1"/>
    <row r="412" ht="44.25" customHeight="1"/>
    <row r="413" ht="44.25" customHeight="1"/>
    <row r="414" ht="44.25" customHeight="1"/>
    <row r="415" ht="44.25" customHeight="1"/>
    <row r="416" ht="44.25" customHeight="1"/>
    <row r="417" ht="44.25" customHeight="1"/>
    <row r="418" ht="44.25" customHeight="1"/>
    <row r="419" ht="44.25" customHeight="1"/>
    <row r="420" ht="44.25" customHeight="1"/>
    <row r="421" ht="44.25" customHeight="1"/>
    <row r="422" ht="44.25" customHeight="1"/>
    <row r="423" ht="44.25" customHeight="1"/>
    <row r="424" ht="44.25" customHeight="1"/>
    <row r="425" ht="44.25" customHeight="1"/>
    <row r="426" ht="44.25" customHeight="1"/>
    <row r="427" ht="44.25" customHeight="1"/>
    <row r="428" ht="44.25" customHeight="1"/>
    <row r="429" ht="44.25" customHeight="1"/>
    <row r="430" ht="44.25" customHeight="1"/>
    <row r="431" ht="44.25" customHeight="1"/>
    <row r="432" ht="44.25" customHeight="1"/>
    <row r="433" ht="44.25" customHeight="1"/>
    <row r="434" ht="44.25" customHeight="1"/>
    <row r="435" ht="44.25" customHeight="1"/>
    <row r="436" ht="44.25" customHeight="1"/>
    <row r="437" ht="44.25" customHeight="1"/>
    <row r="438" ht="44.25" customHeight="1"/>
    <row r="439" ht="44.25" customHeight="1"/>
    <row r="440" ht="44.25" customHeight="1"/>
    <row r="441" ht="44.25" customHeight="1"/>
    <row r="442" ht="44.25" customHeight="1"/>
    <row r="443" ht="44.25" customHeight="1"/>
    <row r="444" ht="44.25" customHeight="1"/>
    <row r="445" ht="44.25" customHeight="1"/>
    <row r="446" ht="44.25" customHeight="1"/>
    <row r="447" ht="44.25" customHeight="1"/>
    <row r="448" ht="44.25" customHeight="1"/>
    <row r="449" ht="44.25" customHeight="1"/>
    <row r="450" ht="44.25" customHeight="1"/>
    <row r="451" ht="44.25" customHeight="1"/>
    <row r="452" ht="44.25" customHeight="1"/>
    <row r="453" ht="44.25" customHeight="1"/>
    <row r="454" ht="44.25" customHeight="1"/>
    <row r="455" ht="44.25" customHeight="1"/>
    <row r="456" ht="44.25" customHeight="1"/>
    <row r="457" ht="44.25" customHeight="1"/>
    <row r="458" ht="44.25" customHeight="1"/>
    <row r="459" ht="44.25" customHeight="1"/>
    <row r="460" ht="44.25" customHeight="1"/>
    <row r="461" ht="44.25" customHeight="1"/>
    <row r="462" ht="44.25" customHeight="1"/>
    <row r="463" ht="44.25" customHeight="1"/>
    <row r="464" ht="44.25" customHeight="1"/>
    <row r="465" ht="44.25" customHeight="1"/>
    <row r="466" ht="44.25" customHeight="1"/>
    <row r="467" ht="44.25" customHeight="1"/>
    <row r="468" ht="44.25" customHeight="1"/>
    <row r="469" ht="44.25" customHeight="1"/>
    <row r="470" ht="44.25" customHeight="1"/>
    <row r="471" ht="44.25" customHeight="1"/>
    <row r="472" ht="44.25" customHeight="1"/>
    <row r="473" ht="44.25" customHeight="1"/>
    <row r="474" ht="44.25" customHeight="1"/>
    <row r="475" ht="44.25" customHeight="1"/>
    <row r="476" ht="44.25" customHeight="1"/>
    <row r="477" ht="44.25" customHeight="1"/>
    <row r="478" ht="44.25" customHeight="1"/>
    <row r="479" ht="44.25" customHeight="1"/>
    <row r="480" ht="44.25" customHeight="1"/>
    <row r="481" ht="44.25" customHeight="1"/>
    <row r="482" ht="44.25" customHeight="1"/>
    <row r="483" ht="44.25" customHeight="1"/>
    <row r="484" ht="44.25" customHeight="1"/>
    <row r="485" ht="44.25" customHeight="1"/>
    <row r="486" ht="44.25" customHeight="1"/>
    <row r="487" ht="44.25" customHeight="1"/>
    <row r="488" ht="44.25" customHeight="1"/>
    <row r="489" ht="44.25" customHeight="1"/>
    <row r="490" ht="44.25" customHeight="1"/>
    <row r="491" ht="44.25" customHeight="1"/>
    <row r="492" ht="44.25" customHeight="1"/>
    <row r="493" ht="44.25" customHeight="1"/>
    <row r="494" ht="44.25" customHeight="1"/>
    <row r="495" ht="44.25" customHeight="1"/>
    <row r="496" ht="44.25" customHeight="1"/>
    <row r="497" ht="44.25" customHeight="1"/>
    <row r="498" ht="44.25" customHeight="1"/>
    <row r="499" ht="44.25" customHeight="1"/>
    <row r="500" ht="44.25" customHeight="1"/>
    <row r="501" ht="44.25" customHeight="1"/>
    <row r="502" ht="44.25" customHeight="1"/>
    <row r="503" ht="44.25" customHeight="1"/>
    <row r="504" ht="44.25" customHeight="1"/>
    <row r="505" ht="44.25" customHeight="1"/>
    <row r="506" ht="44.25" customHeight="1"/>
    <row r="507" ht="44.25" customHeight="1"/>
    <row r="508" ht="44.25" customHeight="1"/>
    <row r="509" ht="44.25" customHeight="1"/>
    <row r="510" ht="44.25" customHeight="1"/>
    <row r="511" ht="44.25" customHeight="1"/>
    <row r="512" ht="44.25" customHeight="1"/>
    <row r="513" ht="44.25" customHeight="1"/>
    <row r="514" ht="44.25" customHeight="1"/>
    <row r="515" ht="44.25" customHeight="1"/>
    <row r="516" ht="44.25" customHeight="1"/>
    <row r="517" ht="44.25" customHeight="1"/>
    <row r="518" ht="44.25" customHeight="1"/>
    <row r="519" ht="44.25" customHeight="1"/>
    <row r="520" ht="44.25" customHeight="1"/>
    <row r="521" ht="44.25" customHeight="1"/>
    <row r="522" ht="44.25" customHeight="1"/>
    <row r="523" ht="44.25" customHeight="1"/>
    <row r="524" ht="44.25" customHeight="1"/>
    <row r="525" ht="44.25" customHeight="1"/>
    <row r="526" ht="44.25" customHeight="1"/>
    <row r="527" ht="44.25" customHeight="1"/>
    <row r="528" ht="44.25" customHeight="1"/>
    <row r="529" ht="44.25" customHeight="1"/>
    <row r="530" ht="44.25" customHeight="1"/>
    <row r="531" ht="44.25" customHeight="1"/>
    <row r="532" ht="44.25" customHeight="1"/>
    <row r="533" ht="44.25" customHeight="1"/>
    <row r="534" ht="44.25" customHeight="1"/>
    <row r="535" ht="44.25" customHeight="1"/>
    <row r="536" ht="44.25" customHeight="1"/>
    <row r="537" ht="44.25" customHeight="1"/>
    <row r="538" ht="44.25" customHeight="1"/>
    <row r="539" ht="44.25" customHeight="1"/>
    <row r="540" ht="44.25" customHeight="1"/>
    <row r="541" ht="44.25" customHeight="1"/>
    <row r="542" ht="44.25" customHeight="1"/>
    <row r="543" ht="44.25" customHeight="1"/>
    <row r="544" ht="44.25" customHeight="1"/>
    <row r="545" ht="44.25" customHeight="1"/>
    <row r="546" ht="44.25" customHeight="1"/>
    <row r="547" ht="44.25" customHeight="1"/>
    <row r="548" ht="44.25" customHeight="1"/>
    <row r="549" ht="44.25" customHeight="1"/>
    <row r="550" ht="44.25" customHeight="1"/>
    <row r="551" ht="44.25" customHeight="1"/>
    <row r="552" ht="44.25" customHeight="1"/>
    <row r="553" ht="44.25" customHeight="1"/>
    <row r="554" ht="44.25" customHeight="1"/>
    <row r="555" ht="44.25" customHeight="1"/>
    <row r="556" ht="44.25" customHeight="1"/>
    <row r="557" ht="44.25" customHeight="1"/>
    <row r="558" ht="44.25" customHeight="1"/>
    <row r="559" ht="44.25" customHeight="1"/>
    <row r="560" ht="44.25" customHeight="1"/>
    <row r="561" ht="44.25" customHeight="1"/>
    <row r="562" ht="44.25" customHeight="1"/>
    <row r="563" ht="44.25" customHeight="1"/>
    <row r="564" ht="44.25" customHeight="1"/>
    <row r="565" ht="44.25" customHeight="1"/>
    <row r="566" ht="44.25" customHeight="1"/>
    <row r="567" ht="44.25" customHeight="1"/>
    <row r="568" ht="44.25" customHeight="1"/>
    <row r="569" ht="44.25" customHeight="1"/>
    <row r="570" ht="44.25" customHeight="1"/>
    <row r="571" ht="44.25" customHeight="1"/>
    <row r="572" ht="44.25" customHeight="1"/>
    <row r="573" ht="44.25" customHeight="1"/>
    <row r="574" ht="44.25" customHeight="1"/>
    <row r="575" ht="44.25" customHeight="1"/>
    <row r="576" ht="44.25" customHeight="1"/>
    <row r="577" ht="44.25" customHeight="1"/>
    <row r="578" ht="44.25" customHeight="1"/>
    <row r="579" ht="44.25" customHeight="1"/>
    <row r="580" ht="44.25" customHeight="1"/>
    <row r="581" ht="44.25" customHeight="1"/>
    <row r="582" ht="44.25" customHeight="1"/>
    <row r="583" ht="44.25" customHeight="1"/>
    <row r="584" ht="44.25" customHeight="1"/>
    <row r="585" ht="44.25" customHeight="1"/>
    <row r="586" ht="44.25" customHeight="1"/>
    <row r="587" ht="44.25" customHeight="1"/>
    <row r="588" ht="44.25" customHeight="1"/>
    <row r="589" ht="44.25" customHeight="1"/>
    <row r="590" ht="44.25" customHeight="1"/>
    <row r="591" ht="44.25" customHeight="1"/>
    <row r="592" ht="44.25" customHeight="1"/>
    <row r="593" ht="44.25" customHeight="1"/>
    <row r="594" ht="44.25" customHeight="1"/>
    <row r="595" ht="44.25" customHeight="1"/>
    <row r="596" ht="44.25" customHeight="1"/>
    <row r="597" ht="44.25" customHeight="1"/>
    <row r="598" ht="44.25" customHeight="1"/>
    <row r="599" ht="44.25" customHeight="1"/>
    <row r="600" ht="44.25" customHeight="1"/>
    <row r="601" ht="44.25" customHeight="1"/>
    <row r="602" ht="44.25" customHeight="1"/>
    <row r="603" ht="44.25" customHeight="1"/>
    <row r="604" ht="44.25" customHeight="1"/>
    <row r="605" ht="44.25" customHeight="1"/>
    <row r="606" ht="44.25" customHeight="1"/>
    <row r="607" ht="44.25" customHeight="1"/>
    <row r="608" ht="44.25" customHeight="1"/>
    <row r="609" ht="44.25" customHeight="1"/>
    <row r="610" ht="44.25" customHeight="1"/>
    <row r="611" ht="44.25" customHeight="1"/>
    <row r="612" ht="44.25" customHeight="1"/>
    <row r="613" ht="44.25" customHeight="1"/>
    <row r="614" ht="44.25" customHeight="1"/>
    <row r="615" ht="44.25" customHeight="1"/>
    <row r="616" ht="44.25" customHeight="1"/>
    <row r="617" ht="44.25" customHeight="1"/>
    <row r="618" ht="44.25" customHeight="1"/>
    <row r="619" ht="44.25" customHeight="1"/>
    <row r="620" ht="44.25" customHeight="1"/>
    <row r="621" ht="44.25" customHeight="1"/>
    <row r="622" ht="44.25" customHeight="1"/>
    <row r="623" ht="44.25" customHeight="1"/>
    <row r="624" ht="44.25" customHeight="1"/>
    <row r="625" ht="44.25" customHeight="1"/>
    <row r="626" ht="44.25" customHeight="1"/>
    <row r="627" ht="44.25" customHeight="1"/>
    <row r="628" ht="44.25" customHeight="1"/>
    <row r="629" ht="44.25" customHeight="1"/>
    <row r="630" ht="44.25" customHeight="1"/>
    <row r="631" ht="44.25" customHeight="1"/>
    <row r="632" ht="44.25" customHeight="1"/>
    <row r="633" ht="44.25" customHeight="1"/>
    <row r="634" ht="44.25" customHeight="1"/>
    <row r="635" ht="44.25" customHeight="1"/>
    <row r="636" ht="44.25" customHeight="1"/>
    <row r="637" ht="44.25" customHeight="1"/>
    <row r="638" ht="44.25" customHeight="1"/>
    <row r="639" ht="44.25" customHeight="1"/>
    <row r="640" ht="44.25" customHeight="1"/>
    <row r="641" ht="44.25" customHeight="1"/>
    <row r="642" ht="44.25" customHeight="1"/>
    <row r="643" ht="44.25" customHeight="1"/>
    <row r="644" ht="44.25" customHeight="1"/>
    <row r="645" ht="44.25" customHeight="1"/>
    <row r="646" ht="44.25" customHeight="1"/>
    <row r="647" ht="44.25" customHeight="1"/>
    <row r="648" ht="44.25" customHeight="1"/>
    <row r="649" ht="44.25" customHeight="1"/>
    <row r="650" ht="44.25" customHeight="1"/>
    <row r="651" ht="44.25" customHeight="1"/>
    <row r="652" ht="44.25" customHeight="1"/>
    <row r="653" ht="44.25" customHeight="1"/>
    <row r="654" ht="44.25" customHeight="1"/>
    <row r="655" ht="44.25" customHeight="1"/>
    <row r="656" ht="44.25" customHeight="1"/>
    <row r="657" ht="44.25" customHeight="1"/>
    <row r="658" ht="44.25" customHeight="1"/>
    <row r="659" ht="44.25" customHeight="1"/>
    <row r="660" ht="44.25" customHeight="1"/>
    <row r="661" ht="44.25" customHeight="1"/>
    <row r="662" ht="44.25" customHeight="1"/>
    <row r="663" ht="44.25" customHeight="1"/>
    <row r="664" ht="44.25" customHeight="1"/>
    <row r="665" ht="44.25" customHeight="1"/>
    <row r="666" ht="44.25" customHeight="1"/>
    <row r="667" ht="44.25" customHeight="1"/>
    <row r="668" ht="44.25" customHeight="1"/>
    <row r="669" ht="44.25" customHeight="1"/>
    <row r="670" ht="44.25" customHeight="1"/>
    <row r="671" ht="44.25" customHeight="1"/>
    <row r="672" ht="44.25" customHeight="1"/>
    <row r="673" ht="44.25" customHeight="1"/>
    <row r="674" ht="44.25" customHeight="1"/>
    <row r="675" ht="44.25" customHeight="1"/>
    <row r="676" ht="44.25" customHeight="1"/>
    <row r="677" ht="44.25" customHeight="1"/>
    <row r="678" ht="44.25" customHeight="1"/>
    <row r="679" ht="44.25" customHeight="1"/>
    <row r="680" ht="44.25" customHeight="1"/>
    <row r="681" ht="44.25" customHeight="1"/>
    <row r="682" ht="44.25" customHeight="1"/>
    <row r="683" ht="44.25" customHeight="1"/>
    <row r="684" ht="44.25" customHeight="1"/>
    <row r="685" ht="44.25" customHeight="1"/>
    <row r="686" ht="44.25" customHeight="1"/>
    <row r="687" ht="44.25" customHeight="1"/>
    <row r="688" ht="44.25" customHeight="1"/>
    <row r="689" ht="44.25" customHeight="1"/>
    <row r="690" ht="44.25" customHeight="1"/>
    <row r="691" ht="44.25" customHeight="1"/>
    <row r="692" ht="44.25" customHeight="1"/>
    <row r="693" ht="44.25" customHeight="1"/>
    <row r="694" ht="44.25" customHeight="1"/>
    <row r="695" ht="44.25" customHeight="1"/>
    <row r="696" ht="44.25" customHeight="1"/>
    <row r="697" ht="44.25" customHeight="1"/>
    <row r="698" ht="44.25" customHeight="1"/>
    <row r="699" ht="44.25" customHeight="1"/>
    <row r="700" ht="44.25" customHeight="1"/>
    <row r="701" ht="44.25" customHeight="1"/>
    <row r="702" ht="44.25" customHeight="1"/>
    <row r="703" ht="44.25" customHeight="1"/>
    <row r="704" ht="44.25" customHeight="1"/>
    <row r="705" ht="44.25" customHeight="1"/>
    <row r="706" ht="44.25" customHeight="1"/>
    <row r="707" ht="44.25" customHeight="1"/>
    <row r="708" ht="44.25" customHeight="1"/>
    <row r="709" ht="44.25" customHeight="1"/>
    <row r="710" ht="44.25" customHeight="1"/>
    <row r="711" ht="44.25" customHeight="1"/>
    <row r="712" ht="44.25" customHeight="1"/>
    <row r="713" ht="44.25" customHeight="1"/>
    <row r="714" ht="44.25" customHeight="1"/>
    <row r="715" ht="44.25" customHeight="1"/>
    <row r="716" ht="44.25" customHeight="1"/>
    <row r="717" ht="44.25" customHeight="1"/>
    <row r="718" ht="44.25" customHeight="1"/>
    <row r="719" ht="44.25" customHeight="1"/>
    <row r="720" ht="44.25" customHeight="1"/>
    <row r="721" ht="44.25" customHeight="1"/>
    <row r="722" ht="44.25" customHeight="1"/>
    <row r="723" ht="44.25" customHeight="1"/>
    <row r="724" ht="44.25" customHeight="1"/>
    <row r="725" ht="44.25" customHeight="1"/>
    <row r="726" ht="44.25" customHeight="1"/>
    <row r="727" ht="44.25" customHeight="1"/>
    <row r="728" ht="44.25" customHeight="1"/>
    <row r="729" ht="44.25" customHeight="1"/>
    <row r="730" ht="44.25" customHeight="1"/>
    <row r="731" ht="44.25" customHeight="1"/>
    <row r="732" ht="44.25" customHeight="1"/>
    <row r="733" ht="44.25" customHeight="1"/>
    <row r="734" ht="44.25" customHeight="1"/>
    <row r="735" ht="44.25" customHeight="1"/>
    <row r="736" ht="44.25" customHeight="1"/>
    <row r="737" ht="44.25" customHeight="1"/>
    <row r="738" ht="44.25" customHeight="1"/>
    <row r="739" ht="44.25" customHeight="1"/>
    <row r="740" ht="44.25" customHeight="1"/>
    <row r="741" ht="44.25" customHeight="1"/>
    <row r="742" ht="44.25" customHeight="1"/>
    <row r="743" ht="44.25" customHeight="1"/>
    <row r="744" ht="44.25" customHeight="1"/>
    <row r="745" ht="44.25" customHeight="1"/>
    <row r="746" ht="44.25" customHeight="1"/>
    <row r="747" ht="44.25" customHeight="1"/>
    <row r="748" ht="44.25" customHeight="1"/>
    <row r="749" ht="44.25" customHeight="1"/>
    <row r="750" ht="44.25" customHeight="1"/>
    <row r="751" ht="44.25" customHeight="1"/>
    <row r="752" ht="44.25" customHeight="1"/>
    <row r="753" ht="44.25" customHeight="1"/>
    <row r="754" ht="44.25" customHeight="1"/>
    <row r="755" ht="44.25" customHeight="1"/>
    <row r="756" ht="44.25" customHeight="1"/>
    <row r="757" ht="44.25" customHeight="1"/>
    <row r="758" ht="44.25" customHeight="1"/>
    <row r="759" ht="44.25" customHeight="1"/>
    <row r="760" ht="44.25" customHeight="1"/>
    <row r="761" ht="44.25" customHeight="1"/>
    <row r="762" ht="44.25" customHeight="1"/>
    <row r="763" ht="44.25" customHeight="1"/>
    <row r="764" ht="44.25" customHeight="1"/>
    <row r="765" ht="44.25" customHeight="1"/>
    <row r="766" ht="44.25" customHeight="1"/>
    <row r="767" ht="44.25" customHeight="1"/>
    <row r="768" ht="44.25" customHeight="1"/>
    <row r="769" ht="44.25" customHeight="1"/>
    <row r="770" ht="44.25" customHeight="1"/>
    <row r="771" ht="44.25" customHeight="1"/>
    <row r="772" ht="44.25" customHeight="1"/>
    <row r="773" ht="44.25" customHeight="1"/>
    <row r="774" ht="44.25" customHeight="1"/>
    <row r="775" ht="44.25" customHeight="1"/>
    <row r="776" ht="44.25" customHeight="1"/>
    <row r="777" ht="44.25" customHeight="1"/>
    <row r="778" ht="44.25" customHeight="1"/>
    <row r="779" ht="44.25" customHeight="1"/>
    <row r="780" ht="44.25" customHeight="1"/>
    <row r="781" ht="44.25" customHeight="1"/>
    <row r="782" ht="44.25" customHeight="1"/>
    <row r="783" ht="44.25" customHeight="1"/>
    <row r="784" ht="44.25" customHeight="1"/>
    <row r="785" ht="44.25" customHeight="1"/>
    <row r="786" ht="44.25" customHeight="1"/>
    <row r="787" ht="44.25" customHeight="1"/>
    <row r="788" ht="44.25" customHeight="1"/>
    <row r="789" ht="44.25" customHeight="1"/>
    <row r="790" ht="44.25" customHeight="1"/>
    <row r="791" ht="44.25" customHeight="1"/>
    <row r="792" ht="44.25" customHeight="1"/>
    <row r="793" ht="44.25" customHeight="1"/>
    <row r="794" ht="44.25" customHeight="1"/>
    <row r="795" ht="44.25" customHeight="1"/>
    <row r="796" ht="44.25" customHeight="1"/>
    <row r="797" ht="44.25" customHeight="1"/>
    <row r="798" ht="44.25" customHeight="1"/>
    <row r="799" ht="44.25" customHeight="1"/>
    <row r="800" ht="44.25" customHeight="1"/>
    <row r="801" ht="44.25" customHeight="1"/>
    <row r="802" ht="44.25" customHeight="1"/>
    <row r="803" ht="44.25" customHeight="1"/>
    <row r="804" ht="44.25" customHeight="1"/>
    <row r="805" ht="44.25" customHeight="1"/>
    <row r="806" ht="44.25" customHeight="1"/>
    <row r="807" ht="44.25" customHeight="1"/>
    <row r="808" ht="44.25" customHeight="1"/>
    <row r="809" ht="44.25" customHeight="1"/>
    <row r="810" ht="44.25" customHeight="1"/>
    <row r="811" ht="44.25" customHeight="1"/>
    <row r="812" ht="44.25" customHeight="1"/>
    <row r="813" ht="44.25" customHeight="1"/>
    <row r="814" ht="44.25" customHeight="1"/>
    <row r="815" ht="44.25" customHeight="1"/>
    <row r="816" ht="44.25" customHeight="1"/>
    <row r="817" ht="44.25" customHeight="1"/>
    <row r="818" ht="44.25" customHeight="1"/>
    <row r="819" ht="44.25" customHeight="1"/>
    <row r="820" ht="44.25" customHeight="1"/>
    <row r="821" ht="44.25" customHeight="1"/>
    <row r="822" ht="44.25" customHeight="1"/>
    <row r="823" ht="44.25" customHeight="1"/>
    <row r="824" ht="44.25" customHeight="1"/>
    <row r="825" ht="44.25" customHeight="1"/>
    <row r="826" ht="44.25" customHeight="1"/>
    <row r="827" ht="44.25" customHeight="1"/>
    <row r="828" ht="44.25" customHeight="1"/>
    <row r="829" ht="44.25" customHeight="1"/>
    <row r="830" ht="44.25" customHeight="1"/>
    <row r="831" ht="44.25" customHeight="1"/>
    <row r="832" ht="44.25" customHeight="1"/>
    <row r="833" ht="44.25" customHeight="1"/>
    <row r="834" ht="44.25" customHeight="1"/>
    <row r="835" ht="44.25" customHeight="1"/>
    <row r="836" ht="44.25" customHeight="1"/>
    <row r="837" ht="44.25" customHeight="1"/>
    <row r="838" ht="44.25" customHeight="1"/>
    <row r="839" ht="44.25" customHeight="1"/>
    <row r="840" ht="44.25" customHeight="1"/>
    <row r="841" ht="44.25" customHeight="1"/>
    <row r="842" ht="44.25" customHeight="1"/>
    <row r="843" ht="44.25" customHeight="1"/>
    <row r="844" ht="44.25" customHeight="1"/>
    <row r="845" ht="44.25" customHeight="1"/>
    <row r="846" ht="44.25" customHeight="1"/>
    <row r="847" ht="44.25" customHeight="1"/>
    <row r="848" ht="44.25" customHeight="1"/>
    <row r="849" ht="44.25" customHeight="1"/>
    <row r="850" ht="44.25" customHeight="1"/>
    <row r="851" ht="44.25" customHeight="1"/>
    <row r="852" ht="44.25" customHeight="1"/>
    <row r="853" ht="44.25" customHeight="1"/>
    <row r="854" ht="44.25" customHeight="1"/>
    <row r="855" ht="44.25" customHeight="1"/>
    <row r="856" ht="44.25" customHeight="1"/>
    <row r="857" ht="44.25" customHeight="1"/>
    <row r="858" ht="44.25" customHeight="1"/>
    <row r="859" ht="44.25" customHeight="1"/>
    <row r="860" ht="44.25" customHeight="1"/>
    <row r="861" ht="44.25" customHeight="1"/>
    <row r="862" ht="44.25" customHeight="1"/>
    <row r="863" ht="44.25" customHeight="1"/>
    <row r="864" ht="44.25" customHeight="1"/>
    <row r="865" ht="44.25" customHeight="1"/>
    <row r="866" ht="44.25" customHeight="1"/>
    <row r="867" ht="44.25" customHeight="1"/>
    <row r="868" ht="44.25" customHeight="1"/>
    <row r="869" ht="44.25" customHeight="1"/>
    <row r="870" ht="44.25" customHeight="1"/>
    <row r="871" ht="44.25" customHeight="1"/>
    <row r="872" ht="44.25" customHeight="1"/>
    <row r="873" ht="44.25" customHeight="1"/>
    <row r="874" ht="44.25" customHeight="1"/>
    <row r="875" ht="44.25" customHeight="1"/>
    <row r="876" ht="44.25" customHeight="1"/>
    <row r="877" ht="44.25" customHeight="1"/>
    <row r="878" ht="44.25" customHeight="1"/>
    <row r="879" ht="44.25" customHeight="1"/>
    <row r="880" ht="44.25" customHeight="1"/>
    <row r="881" ht="44.25" customHeight="1"/>
    <row r="882" ht="44.25" customHeight="1"/>
    <row r="883" ht="44.25" customHeight="1"/>
    <row r="884" ht="44.25" customHeight="1"/>
    <row r="885" ht="44.25" customHeight="1"/>
    <row r="886" ht="44.25" customHeight="1"/>
    <row r="887" ht="44.25" customHeight="1"/>
    <row r="888" ht="44.25" customHeight="1"/>
    <row r="889" ht="44.25" customHeight="1"/>
    <row r="890" ht="44.25" customHeight="1"/>
    <row r="891" ht="44.25" customHeight="1"/>
    <row r="892" ht="44.25" customHeight="1"/>
    <row r="893" ht="44.25" customHeight="1"/>
    <row r="894" ht="44.25" customHeight="1"/>
    <row r="895" ht="44.25" customHeight="1"/>
    <row r="896" ht="44.25" customHeight="1"/>
    <row r="897" ht="44.25" customHeight="1"/>
    <row r="898" ht="44.25" customHeight="1"/>
    <row r="899" ht="44.25" customHeight="1"/>
    <row r="900" ht="44.25" customHeight="1"/>
    <row r="901" ht="44.25" customHeight="1"/>
    <row r="902" ht="44.25" customHeight="1"/>
    <row r="903" ht="44.25" customHeight="1"/>
    <row r="904" ht="44.25" customHeight="1"/>
    <row r="905" ht="44.25" customHeight="1"/>
    <row r="906" ht="44.25" customHeight="1"/>
    <row r="907" ht="44.25" customHeight="1"/>
    <row r="908" ht="44.25" customHeight="1"/>
    <row r="909" ht="44.25" customHeight="1"/>
    <row r="910" ht="44.25" customHeight="1"/>
    <row r="911" ht="44.25" customHeight="1"/>
    <row r="912" ht="44.25" customHeight="1"/>
    <row r="913" ht="44.25" customHeight="1"/>
    <row r="914" ht="44.25" customHeight="1"/>
    <row r="915" ht="44.25" customHeight="1"/>
    <row r="916" ht="44.25" customHeight="1"/>
    <row r="917" ht="44.25" customHeight="1"/>
    <row r="918" ht="44.25" customHeight="1"/>
    <row r="919" ht="44.25" customHeight="1"/>
    <row r="920" ht="44.25" customHeight="1"/>
    <row r="921" ht="44.25" customHeight="1"/>
    <row r="922" ht="44.25" customHeight="1"/>
    <row r="923" ht="44.25" customHeight="1"/>
    <row r="924" ht="44.25" customHeight="1"/>
    <row r="925" ht="44.25" customHeight="1"/>
    <row r="926" ht="44.25" customHeight="1"/>
    <row r="927" ht="44.25" customHeight="1"/>
    <row r="928" ht="44.25" customHeight="1"/>
    <row r="929" ht="44.25" customHeight="1"/>
    <row r="930" ht="44.25" customHeight="1"/>
    <row r="931" ht="44.25" customHeight="1"/>
    <row r="932" ht="44.25" customHeight="1"/>
    <row r="933" ht="44.25" customHeight="1"/>
    <row r="934" ht="44.25" customHeight="1"/>
    <row r="935" ht="44.25" customHeight="1"/>
    <row r="936" ht="44.25" customHeight="1"/>
    <row r="937" ht="44.25" customHeight="1"/>
    <row r="938" ht="44.25" customHeight="1"/>
    <row r="939" ht="44.25" customHeight="1"/>
    <row r="940" ht="44.25" customHeight="1"/>
    <row r="941" ht="44.25" customHeight="1"/>
    <row r="942" ht="44.25" customHeight="1"/>
    <row r="943" ht="44.25" customHeight="1"/>
    <row r="944" ht="44.25" customHeight="1"/>
    <row r="945" ht="44.25" customHeight="1"/>
    <row r="946" ht="44.25" customHeight="1"/>
    <row r="947" ht="44.25" customHeight="1"/>
    <row r="948" ht="44.25" customHeight="1"/>
    <row r="949" ht="44.25" customHeight="1"/>
    <row r="950" ht="44.25" customHeight="1"/>
    <row r="951" ht="44.25" customHeight="1"/>
    <row r="952" ht="44.25" customHeight="1"/>
    <row r="953" ht="44.25" customHeight="1"/>
    <row r="954" ht="44.25" customHeight="1"/>
    <row r="955" ht="44.25" customHeight="1"/>
    <row r="956" ht="44.25" customHeight="1"/>
    <row r="957" ht="44.25" customHeight="1"/>
    <row r="958" ht="44.25" customHeight="1"/>
    <row r="959" ht="44.25" customHeight="1"/>
    <row r="960" ht="44.25" customHeight="1"/>
    <row r="961" ht="44.25" customHeight="1"/>
    <row r="962" ht="44.25" customHeight="1"/>
    <row r="963" ht="44.25" customHeight="1"/>
    <row r="964" ht="44.25" customHeight="1"/>
    <row r="965" ht="44.25" customHeight="1"/>
    <row r="966" ht="44.25" customHeight="1"/>
    <row r="967" ht="44.25" customHeight="1"/>
    <row r="968" ht="44.25" customHeight="1"/>
    <row r="969" ht="44.25" customHeight="1"/>
    <row r="970" ht="44.25" customHeight="1"/>
    <row r="971" ht="44.25" customHeight="1"/>
    <row r="972" ht="44.25" customHeight="1"/>
    <row r="973" ht="44.25" customHeight="1"/>
    <row r="974" ht="44.25" customHeight="1"/>
    <row r="975" ht="44.25" customHeight="1"/>
    <row r="976" ht="44.25" customHeight="1"/>
    <row r="977" ht="44.25" customHeight="1"/>
    <row r="978" ht="44.25" customHeight="1"/>
    <row r="979" ht="44.25" customHeight="1"/>
    <row r="980" ht="44.25" customHeight="1"/>
    <row r="981" ht="44.25" customHeight="1"/>
    <row r="982" ht="44.25" customHeight="1"/>
    <row r="983" ht="44.25" customHeight="1"/>
    <row r="984" ht="44.25" customHeight="1"/>
    <row r="985" ht="44.25" customHeight="1"/>
    <row r="986" ht="44.25" customHeight="1"/>
    <row r="987" ht="44.25" customHeight="1"/>
    <row r="988" ht="44.25" customHeight="1"/>
    <row r="989" ht="44.25" customHeight="1"/>
    <row r="990" ht="44.25" customHeight="1"/>
    <row r="991" ht="44.25" customHeight="1"/>
    <row r="992" ht="44.25" customHeight="1"/>
    <row r="993" ht="44.25" customHeight="1"/>
    <row r="994" ht="44.25" customHeight="1"/>
    <row r="995" ht="44.25" customHeight="1"/>
    <row r="996" ht="44.25" customHeight="1"/>
    <row r="997" ht="44.25" customHeight="1"/>
    <row r="998" ht="44.25" customHeight="1"/>
    <row r="999" ht="44.25" customHeight="1"/>
    <row r="1000" ht="4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8.71"/>
    <col customWidth="1" min="3" max="3" width="73.86"/>
  </cols>
  <sheetData>
    <row r="1" ht="33.75" customHeight="1">
      <c r="A1" s="16" t="s">
        <v>1584</v>
      </c>
      <c r="B1" s="16" t="str">
        <f>IMAGE("https://lmztiles.s3.eu-west-1.amazonaws.com/Modern_Interiors_v41.3.4/1_Interiors/16x16/Theme_Sorter_Singles/8_Gym_Singles/Gym_Singles_1.png")</f>
        <v/>
      </c>
      <c r="C1" s="8" t="s">
        <v>1585</v>
      </c>
    </row>
    <row r="2" ht="33.75" customHeight="1">
      <c r="A2" s="16" t="s">
        <v>1586</v>
      </c>
      <c r="B2" s="16" t="str">
        <f>IMAGE("https://lmztiles.s3.eu-west-1.amazonaws.com/Modern_Interiors_v41.3.4/1_Interiors/16x16/Theme_Sorter_Singles/8_Gym_Singles/Gym_Singles_2.png")</f>
        <v/>
      </c>
      <c r="C2" s="8" t="s">
        <v>1585</v>
      </c>
    </row>
    <row r="3" ht="33.75" customHeight="1">
      <c r="A3" s="16" t="s">
        <v>1587</v>
      </c>
      <c r="B3" s="16" t="str">
        <f>IMAGE("https://lmztiles.s3.eu-west-1.amazonaws.com/Modern_Interiors_v41.3.4/1_Interiors/16x16/Theme_Sorter_Singles/8_Gym_Singles/Gym_Singles_3.png")</f>
        <v/>
      </c>
      <c r="C3" s="8" t="s">
        <v>1585</v>
      </c>
    </row>
    <row r="4" ht="33.75" customHeight="1">
      <c r="A4" s="16" t="s">
        <v>1588</v>
      </c>
      <c r="B4" s="16" t="str">
        <f>IMAGE("https://lmztiles.s3.eu-west-1.amazonaws.com/Modern_Interiors_v41.3.4/1_Interiors/16x16/Theme_Sorter_Singles/8_Gym_Singles/Gym_Singles_4.png")</f>
        <v/>
      </c>
      <c r="C4" s="8" t="s">
        <v>1585</v>
      </c>
    </row>
    <row r="5" ht="33.75" customHeight="1">
      <c r="A5" s="16" t="s">
        <v>1589</v>
      </c>
      <c r="B5" s="16" t="str">
        <f>IMAGE("https://lmztiles.s3.eu-west-1.amazonaws.com/Modern_Interiors_v41.3.4/1_Interiors/16x16/Theme_Sorter_Singles/8_Gym_Singles/Gym_Singles_5.png")</f>
        <v/>
      </c>
      <c r="C5" s="8" t="s">
        <v>1585</v>
      </c>
    </row>
    <row r="6" ht="33.75" customHeight="1">
      <c r="A6" s="16" t="s">
        <v>1590</v>
      </c>
      <c r="B6" s="16" t="str">
        <f>IMAGE("https://lmztiles.s3.eu-west-1.amazonaws.com/Modern_Interiors_v41.3.4/1_Interiors/16x16/Theme_Sorter_Singles/8_Gym_Singles/Gym_Singles_6.png")</f>
        <v/>
      </c>
      <c r="C6" s="8" t="s">
        <v>1585</v>
      </c>
    </row>
    <row r="7" ht="33.75" customHeight="1">
      <c r="A7" s="16" t="s">
        <v>1591</v>
      </c>
      <c r="B7" s="16" t="str">
        <f>IMAGE("https://lmztiles.s3.eu-west-1.amazonaws.com/Modern_Interiors_v41.3.4/1_Interiors/16x16/Theme_Sorter_Singles/8_Gym_Singles/Gym_Singles_7.png")</f>
        <v/>
      </c>
      <c r="C7" s="8" t="s">
        <v>1585</v>
      </c>
    </row>
    <row r="8" ht="33.75" customHeight="1">
      <c r="A8" s="16" t="s">
        <v>1592</v>
      </c>
      <c r="B8" s="16" t="str">
        <f>IMAGE("https://lmztiles.s3.eu-west-1.amazonaws.com/Modern_Interiors_v41.3.4/1_Interiors/16x16/Theme_Sorter_Singles/8_Gym_Singles/Gym_Singles_8.png")</f>
        <v/>
      </c>
      <c r="C8" s="8" t="s">
        <v>1585</v>
      </c>
    </row>
    <row r="9" ht="33.75" customHeight="1">
      <c r="A9" s="16" t="s">
        <v>1593</v>
      </c>
      <c r="B9" s="16" t="str">
        <f>IMAGE("https://lmztiles.s3.eu-west-1.amazonaws.com/Modern_Interiors_v41.3.4/1_Interiors/16x16/Theme_Sorter_Singles/8_Gym_Singles/Gym_Singles_9.png")</f>
        <v/>
      </c>
      <c r="C9" s="8" t="s">
        <v>1585</v>
      </c>
    </row>
    <row r="10" ht="33.75" customHeight="1">
      <c r="A10" s="16" t="s">
        <v>1594</v>
      </c>
      <c r="B10" s="16" t="str">
        <f>IMAGE("https://lmztiles.s3.eu-west-1.amazonaws.com/Modern_Interiors_v41.3.4/1_Interiors/16x16/Theme_Sorter_Singles/8_Gym_Singles/Gym_Singles_10.png")</f>
        <v/>
      </c>
      <c r="C10" s="8" t="s">
        <v>1585</v>
      </c>
    </row>
    <row r="11" ht="33.75" customHeight="1">
      <c r="A11" s="16" t="s">
        <v>1595</v>
      </c>
      <c r="B11" s="16" t="str">
        <f>IMAGE("https://lmztiles.s3.eu-west-1.amazonaws.com/Modern_Interiors_v41.3.4/1_Interiors/16x16/Theme_Sorter_Singles/8_Gym_Singles/Gym_Singles_11.png")</f>
        <v/>
      </c>
      <c r="C11" s="8" t="s">
        <v>1585</v>
      </c>
    </row>
    <row r="12" ht="33.75" customHeight="1">
      <c r="A12" s="16" t="s">
        <v>1596</v>
      </c>
      <c r="B12" s="16" t="str">
        <f>IMAGE("https://lmztiles.s3.eu-west-1.amazonaws.com/Modern_Interiors_v41.3.4/1_Interiors/16x16/Theme_Sorter_Singles/8_Gym_Singles/Gym_Singles_12.png")</f>
        <v/>
      </c>
      <c r="C12" s="8" t="s">
        <v>1585</v>
      </c>
    </row>
    <row r="13" ht="33.75" customHeight="1">
      <c r="A13" s="16" t="s">
        <v>1597</v>
      </c>
      <c r="B13" s="16" t="str">
        <f>IMAGE("https://lmztiles.s3.eu-west-1.amazonaws.com/Modern_Interiors_v41.3.4/1_Interiors/16x16/Theme_Sorter_Singles/8_Gym_Singles/Gym_Singles_13.png")</f>
        <v/>
      </c>
      <c r="C13" s="8" t="s">
        <v>1585</v>
      </c>
    </row>
    <row r="14" ht="33.75" customHeight="1">
      <c r="A14" s="16" t="s">
        <v>1598</v>
      </c>
      <c r="B14" s="16" t="str">
        <f>IMAGE("https://lmztiles.s3.eu-west-1.amazonaws.com/Modern_Interiors_v41.3.4/1_Interiors/16x16/Theme_Sorter_Singles/8_Gym_Singles/Gym_Singles_14.png")</f>
        <v/>
      </c>
      <c r="C14" s="8" t="s">
        <v>1585</v>
      </c>
    </row>
    <row r="15" ht="33.75" customHeight="1">
      <c r="A15" s="16" t="s">
        <v>1599</v>
      </c>
      <c r="B15" s="16" t="str">
        <f>IMAGE("https://lmztiles.s3.eu-west-1.amazonaws.com/Modern_Interiors_v41.3.4/1_Interiors/16x16/Theme_Sorter_Singles/8_Gym_Singles/Gym_Singles_15.png")</f>
        <v/>
      </c>
      <c r="C15" s="8" t="s">
        <v>1585</v>
      </c>
    </row>
    <row r="16" ht="33.75" customHeight="1">
      <c r="A16" s="16" t="s">
        <v>1600</v>
      </c>
      <c r="B16" s="16" t="str">
        <f>IMAGE("https://lmztiles.s3.eu-west-1.amazonaws.com/Modern_Interiors_v41.3.4/1_Interiors/16x16/Theme_Sorter_Singles/8_Gym_Singles/Gym_Singles_16.png")</f>
        <v/>
      </c>
      <c r="C16" s="8" t="s">
        <v>1585</v>
      </c>
    </row>
    <row r="17" ht="33.75" customHeight="1">
      <c r="A17" s="16" t="s">
        <v>1601</v>
      </c>
      <c r="B17" s="16" t="str">
        <f>IMAGE("https://lmztiles.s3.eu-west-1.amazonaws.com/Modern_Interiors_v41.3.4/1_Interiors/16x16/Theme_Sorter_Singles/8_Gym_Singles/Gym_Singles_17.png")</f>
        <v/>
      </c>
      <c r="C17" s="8" t="s">
        <v>1585</v>
      </c>
    </row>
    <row r="18" ht="33.75" customHeight="1">
      <c r="A18" s="16" t="s">
        <v>1602</v>
      </c>
      <c r="B18" s="16" t="str">
        <f>IMAGE("https://lmztiles.s3.eu-west-1.amazonaws.com/Modern_Interiors_v41.3.4/1_Interiors/16x16/Theme_Sorter_Singles/8_Gym_Singles/Gym_Singles_18.png")</f>
        <v/>
      </c>
      <c r="C18" s="8" t="s">
        <v>1585</v>
      </c>
    </row>
    <row r="19" ht="33.75" customHeight="1">
      <c r="A19" s="16" t="s">
        <v>1603</v>
      </c>
      <c r="B19" s="16" t="str">
        <f>IMAGE("https://lmztiles.s3.eu-west-1.amazonaws.com/Modern_Interiors_v41.3.4/1_Interiors/16x16/Theme_Sorter_Singles/8_Gym_Singles/Gym_Singles_19.png")</f>
        <v/>
      </c>
      <c r="C19" s="8" t="s">
        <v>1604</v>
      </c>
    </row>
    <row r="20" ht="33.75" customHeight="1">
      <c r="A20" s="16" t="s">
        <v>1605</v>
      </c>
      <c r="B20" s="16" t="str">
        <f>IMAGE("https://lmztiles.s3.eu-west-1.amazonaws.com/Modern_Interiors_v41.3.4/1_Interiors/16x16/Theme_Sorter_Singles/8_Gym_Singles/Gym_Singles_20.png")</f>
        <v/>
      </c>
      <c r="C20" s="8" t="s">
        <v>1604</v>
      </c>
    </row>
    <row r="21" ht="33.75" customHeight="1">
      <c r="A21" s="16" t="s">
        <v>1606</v>
      </c>
      <c r="B21" s="16" t="str">
        <f>IMAGE("https://lmztiles.s3.eu-west-1.amazonaws.com/Modern_Interiors_v41.3.4/1_Interiors/16x16/Theme_Sorter_Singles/8_Gym_Singles/Gym_Singles_21.png")</f>
        <v/>
      </c>
      <c r="C21" s="8" t="s">
        <v>1604</v>
      </c>
    </row>
    <row r="22" ht="33.75" customHeight="1">
      <c r="A22" s="16" t="s">
        <v>1607</v>
      </c>
      <c r="B22" s="16" t="str">
        <f>IMAGE("https://lmztiles.s3.eu-west-1.amazonaws.com/Modern_Interiors_v41.3.4/1_Interiors/16x16/Theme_Sorter_Singles/8_Gym_Singles/Gym_Singles_22.png")</f>
        <v/>
      </c>
      <c r="C22" s="8" t="s">
        <v>1604</v>
      </c>
    </row>
    <row r="23" ht="33.75" customHeight="1">
      <c r="A23" s="16" t="s">
        <v>1608</v>
      </c>
      <c r="B23" s="16" t="str">
        <f>IMAGE("https://lmztiles.s3.eu-west-1.amazonaws.com/Modern_Interiors_v41.3.4/1_Interiors/16x16/Theme_Sorter_Singles/8_Gym_Singles/Gym_Singles_23.png")</f>
        <v/>
      </c>
      <c r="C23" s="8" t="s">
        <v>1604</v>
      </c>
    </row>
    <row r="24" ht="33.75" customHeight="1">
      <c r="A24" s="16" t="s">
        <v>1609</v>
      </c>
      <c r="B24" s="16" t="str">
        <f>IMAGE("https://lmztiles.s3.eu-west-1.amazonaws.com/Modern_Interiors_v41.3.4/1_Interiors/16x16/Theme_Sorter_Singles/8_Gym_Singles/Gym_Singles_24.png")</f>
        <v/>
      </c>
      <c r="C24" s="8" t="s">
        <v>1604</v>
      </c>
    </row>
    <row r="25" ht="33.75" customHeight="1">
      <c r="A25" s="16" t="s">
        <v>1610</v>
      </c>
      <c r="B25" s="16" t="str">
        <f>IMAGE("https://lmztiles.s3.eu-west-1.amazonaws.com/Modern_Interiors_v41.3.4/1_Interiors/16x16/Theme_Sorter_Singles/8_Gym_Singles/Gym_Singles_25.png")</f>
        <v/>
      </c>
      <c r="C25" s="8" t="s">
        <v>1604</v>
      </c>
    </row>
    <row r="26" ht="33.75" customHeight="1">
      <c r="A26" s="16" t="s">
        <v>1611</v>
      </c>
      <c r="B26" s="16" t="str">
        <f>IMAGE("https://lmztiles.s3.eu-west-1.amazonaws.com/Modern_Interiors_v41.3.4/1_Interiors/16x16/Theme_Sorter_Singles/8_Gym_Singles/Gym_Singles_26.png")</f>
        <v/>
      </c>
      <c r="C26" s="8" t="s">
        <v>1604</v>
      </c>
    </row>
    <row r="27" ht="33.75" customHeight="1">
      <c r="A27" s="16" t="s">
        <v>1612</v>
      </c>
      <c r="B27" s="16" t="str">
        <f>IMAGE("https://lmztiles.s3.eu-west-1.amazonaws.com/Modern_Interiors_v41.3.4/1_Interiors/16x16/Theme_Sorter_Singles/8_Gym_Singles/Gym_Singles_27.png")</f>
        <v/>
      </c>
      <c r="C27" s="8" t="s">
        <v>1604</v>
      </c>
    </row>
    <row r="28" ht="33.75" customHeight="1">
      <c r="A28" s="16" t="s">
        <v>1613</v>
      </c>
      <c r="B28" s="16" t="str">
        <f>IMAGE("https://lmztiles.s3.eu-west-1.amazonaws.com/Modern_Interiors_v41.3.4/1_Interiors/16x16/Theme_Sorter_Singles/8_Gym_Singles/Gym_Singles_28.png")</f>
        <v/>
      </c>
      <c r="C28" s="8" t="s">
        <v>1604</v>
      </c>
    </row>
    <row r="29" ht="33.75" customHeight="1">
      <c r="A29" s="16" t="s">
        <v>1614</v>
      </c>
      <c r="B29" s="16" t="str">
        <f>IMAGE("https://lmztiles.s3.eu-west-1.amazonaws.com/Modern_Interiors_v41.3.4/1_Interiors/16x16/Theme_Sorter_Singles/8_Gym_Singles/Gym_Singles_29.png")</f>
        <v/>
      </c>
      <c r="C29" s="8" t="s">
        <v>1604</v>
      </c>
    </row>
    <row r="30" ht="33.75" customHeight="1">
      <c r="A30" s="16" t="s">
        <v>1615</v>
      </c>
      <c r="B30" s="16" t="str">
        <f>IMAGE("https://lmztiles.s3.eu-west-1.amazonaws.com/Modern_Interiors_v41.3.4/1_Interiors/16x16/Theme_Sorter_Singles/8_Gym_Singles/Gym_Singles_30.png")</f>
        <v/>
      </c>
      <c r="C30" s="8" t="s">
        <v>1604</v>
      </c>
    </row>
    <row r="31" ht="33.75" customHeight="1">
      <c r="A31" s="16" t="s">
        <v>1616</v>
      </c>
      <c r="B31" s="16" t="str">
        <f>IMAGE("https://lmztiles.s3.eu-west-1.amazonaws.com/Modern_Interiors_v41.3.4/1_Interiors/16x16/Theme_Sorter_Singles/8_Gym_Singles/Gym_Singles_31.png")</f>
        <v/>
      </c>
      <c r="C31" s="8" t="s">
        <v>1604</v>
      </c>
    </row>
    <row r="32" ht="33.75" customHeight="1">
      <c r="A32" s="16" t="s">
        <v>1617</v>
      </c>
      <c r="B32" s="16" t="str">
        <f>IMAGE("https://lmztiles.s3.eu-west-1.amazonaws.com/Modern_Interiors_v41.3.4/1_Interiors/16x16/Theme_Sorter_Singles/8_Gym_Singles/Gym_Singles_32.png")</f>
        <v/>
      </c>
      <c r="C32" s="8" t="s">
        <v>1604</v>
      </c>
    </row>
    <row r="33" ht="33.75" customHeight="1">
      <c r="A33" s="16" t="s">
        <v>1618</v>
      </c>
      <c r="B33" s="16" t="str">
        <f>IMAGE("https://lmztiles.s3.eu-west-1.amazonaws.com/Modern_Interiors_v41.3.4/1_Interiors/16x16/Theme_Sorter_Singles/8_Gym_Singles/Gym_Singles_33.png")</f>
        <v/>
      </c>
      <c r="C33" s="8" t="s">
        <v>1604</v>
      </c>
    </row>
    <row r="34" ht="33.75" customHeight="1">
      <c r="A34" s="16" t="s">
        <v>1619</v>
      </c>
      <c r="B34" s="16" t="str">
        <f>IMAGE("https://lmztiles.s3.eu-west-1.amazonaws.com/Modern_Interiors_v41.3.4/1_Interiors/16x16/Theme_Sorter_Singles/8_Gym_Singles/Gym_Singles_34.png")</f>
        <v/>
      </c>
      <c r="C34" s="8" t="s">
        <v>1604</v>
      </c>
    </row>
    <row r="35" ht="33.75" customHeight="1">
      <c r="A35" s="16" t="s">
        <v>1620</v>
      </c>
      <c r="B35" s="16" t="str">
        <f>IMAGE("https://lmztiles.s3.eu-west-1.amazonaws.com/Modern_Interiors_v41.3.4/1_Interiors/16x16/Theme_Sorter_Singles/8_Gym_Singles/Gym_Singles_35.png")</f>
        <v/>
      </c>
      <c r="C35" s="8" t="s">
        <v>1604</v>
      </c>
    </row>
    <row r="36" ht="33.75" customHeight="1">
      <c r="A36" s="16" t="s">
        <v>1621</v>
      </c>
      <c r="B36" s="16" t="str">
        <f>IMAGE("https://lmztiles.s3.eu-west-1.amazonaws.com/Modern_Interiors_v41.3.4/1_Interiors/16x16/Theme_Sorter_Singles/8_Gym_Singles/Gym_Singles_36.png")</f>
        <v/>
      </c>
      <c r="C36" s="8" t="s">
        <v>1604</v>
      </c>
    </row>
    <row r="37" ht="33.75" customHeight="1">
      <c r="A37" s="16" t="s">
        <v>1622</v>
      </c>
      <c r="B37" s="16" t="str">
        <f>IMAGE("https://lmztiles.s3.eu-west-1.amazonaws.com/Modern_Interiors_v41.3.4/1_Interiors/16x16/Theme_Sorter_Singles/8_Gym_Singles/Gym_Singles_37.png")</f>
        <v/>
      </c>
      <c r="C37" s="8" t="s">
        <v>1623</v>
      </c>
    </row>
    <row r="38" ht="33.75" customHeight="1">
      <c r="A38" s="16" t="s">
        <v>1624</v>
      </c>
      <c r="B38" s="16" t="str">
        <f>IMAGE("https://lmztiles.s3.eu-west-1.amazonaws.com/Modern_Interiors_v41.3.4/1_Interiors/16x16/Theme_Sorter_Singles/8_Gym_Singles/Gym_Singles_38.png")</f>
        <v/>
      </c>
      <c r="C38" s="8" t="s">
        <v>1623</v>
      </c>
    </row>
    <row r="39" ht="33.75" customHeight="1">
      <c r="A39" s="16" t="s">
        <v>1625</v>
      </c>
      <c r="B39" s="16" t="str">
        <f>IMAGE("https://lmztiles.s3.eu-west-1.amazonaws.com/Modern_Interiors_v41.3.4/1_Interiors/16x16/Theme_Sorter_Singles/8_Gym_Singles/Gym_Singles_39.png")</f>
        <v/>
      </c>
      <c r="C39" s="8" t="s">
        <v>1623</v>
      </c>
    </row>
    <row r="40" ht="33.75" customHeight="1">
      <c r="A40" s="16" t="s">
        <v>1626</v>
      </c>
      <c r="B40" s="16" t="str">
        <f>IMAGE("https://lmztiles.s3.eu-west-1.amazonaws.com/Modern_Interiors_v41.3.4/1_Interiors/16x16/Theme_Sorter_Singles/8_Gym_Singles/Gym_Singles_40.png")</f>
        <v/>
      </c>
      <c r="C40" s="8" t="s">
        <v>1623</v>
      </c>
    </row>
    <row r="41" ht="33.75" customHeight="1">
      <c r="A41" s="16" t="s">
        <v>1627</v>
      </c>
      <c r="B41" s="16" t="str">
        <f>IMAGE("https://lmztiles.s3.eu-west-1.amazonaws.com/Modern_Interiors_v41.3.4/1_Interiors/16x16/Theme_Sorter_Singles/8_Gym_Singles/Gym_Singles_41.png")</f>
        <v/>
      </c>
      <c r="C41" s="8" t="s">
        <v>1623</v>
      </c>
    </row>
    <row r="42" ht="33.75" customHeight="1">
      <c r="A42" s="16" t="s">
        <v>1628</v>
      </c>
      <c r="B42" s="16" t="str">
        <f>IMAGE("https://lmztiles.s3.eu-west-1.amazonaws.com/Modern_Interiors_v41.3.4/1_Interiors/16x16/Theme_Sorter_Singles/8_Gym_Singles/Gym_Singles_42.png")</f>
        <v/>
      </c>
      <c r="C42" s="8" t="s">
        <v>1623</v>
      </c>
    </row>
    <row r="43" ht="33.75" customHeight="1">
      <c r="A43" s="16" t="s">
        <v>1629</v>
      </c>
      <c r="B43" s="16" t="str">
        <f>IMAGE("https://lmztiles.s3.eu-west-1.amazonaws.com/Modern_Interiors_v41.3.4/1_Interiors/16x16/Theme_Sorter_Singles/8_Gym_Singles/Gym_Singles_43.png")</f>
        <v/>
      </c>
      <c r="C43" s="8" t="s">
        <v>1623</v>
      </c>
    </row>
    <row r="44" ht="33.75" customHeight="1">
      <c r="A44" s="16" t="s">
        <v>1630</v>
      </c>
      <c r="B44" s="16" t="str">
        <f>IMAGE("https://lmztiles.s3.eu-west-1.amazonaws.com/Modern_Interiors_v41.3.4/1_Interiors/16x16/Theme_Sorter_Singles/8_Gym_Singles/Gym_Singles_44.png")</f>
        <v/>
      </c>
      <c r="C44" s="8" t="s">
        <v>1623</v>
      </c>
    </row>
    <row r="45" ht="33.75" customHeight="1">
      <c r="A45" s="16" t="s">
        <v>1631</v>
      </c>
      <c r="B45" s="16" t="str">
        <f>IMAGE("https://lmztiles.s3.eu-west-1.amazonaws.com/Modern_Interiors_v41.3.4/1_Interiors/16x16/Theme_Sorter_Singles/8_Gym_Singles/Gym_Singles_45.png")</f>
        <v/>
      </c>
      <c r="C45" s="8" t="s">
        <v>1623</v>
      </c>
    </row>
    <row r="46" ht="33.75" customHeight="1">
      <c r="A46" s="16" t="s">
        <v>1632</v>
      </c>
      <c r="B46" s="16" t="str">
        <f>IMAGE("https://lmztiles.s3.eu-west-1.amazonaws.com/Modern_Interiors_v41.3.4/1_Interiors/16x16/Theme_Sorter_Singles/8_Gym_Singles/Gym_Singles_46.png")</f>
        <v/>
      </c>
      <c r="C46" s="8" t="s">
        <v>1623</v>
      </c>
    </row>
    <row r="47" ht="33.75" customHeight="1">
      <c r="A47" s="16" t="s">
        <v>1633</v>
      </c>
      <c r="B47" s="16" t="str">
        <f>IMAGE("https://lmztiles.s3.eu-west-1.amazonaws.com/Modern_Interiors_v41.3.4/1_Interiors/16x16/Theme_Sorter_Singles/8_Gym_Singles/Gym_Singles_47.png")</f>
        <v/>
      </c>
      <c r="C47" s="8" t="s">
        <v>1623</v>
      </c>
    </row>
    <row r="48" ht="33.75" customHeight="1">
      <c r="A48" s="16" t="s">
        <v>1634</v>
      </c>
      <c r="B48" s="16" t="str">
        <f>IMAGE("https://lmztiles.s3.eu-west-1.amazonaws.com/Modern_Interiors_v41.3.4/1_Interiors/16x16/Theme_Sorter_Singles/8_Gym_Singles/Gym_Singles_48.png")</f>
        <v/>
      </c>
      <c r="C48" s="8" t="s">
        <v>1623</v>
      </c>
    </row>
    <row r="49" ht="33.75" customHeight="1">
      <c r="A49" s="16" t="s">
        <v>1635</v>
      </c>
      <c r="B49" s="16" t="str">
        <f>IMAGE("https://lmztiles.s3.eu-west-1.amazonaws.com/Modern_Interiors_v41.3.4/1_Interiors/16x16/Theme_Sorter_Singles/8_Gym_Singles/Gym_Singles_49.png")</f>
        <v/>
      </c>
      <c r="C49" s="8" t="s">
        <v>1623</v>
      </c>
    </row>
    <row r="50" ht="33.75" customHeight="1">
      <c r="A50" s="16" t="s">
        <v>1636</v>
      </c>
      <c r="B50" s="16" t="str">
        <f>IMAGE("https://lmztiles.s3.eu-west-1.amazonaws.com/Modern_Interiors_v41.3.4/1_Interiors/16x16/Theme_Sorter_Singles/8_Gym_Singles/Gym_Singles_50.png")</f>
        <v/>
      </c>
      <c r="C50" s="8" t="s">
        <v>1623</v>
      </c>
    </row>
    <row r="51" ht="33.75" customHeight="1">
      <c r="A51" s="16" t="s">
        <v>1637</v>
      </c>
      <c r="B51" s="16" t="str">
        <f>IMAGE("https://lmztiles.s3.eu-west-1.amazonaws.com/Modern_Interiors_v41.3.4/1_Interiors/16x16/Theme_Sorter_Singles/8_Gym_Singles/Gym_Singles_51.png")</f>
        <v/>
      </c>
      <c r="C51" s="8" t="s">
        <v>1623</v>
      </c>
    </row>
    <row r="52" ht="33.75" customHeight="1">
      <c r="A52" s="16" t="s">
        <v>1638</v>
      </c>
      <c r="B52" s="16" t="str">
        <f>IMAGE("https://lmztiles.s3.eu-west-1.amazonaws.com/Modern_Interiors_v41.3.4/1_Interiors/16x16/Theme_Sorter_Singles/8_Gym_Singles/Gym_Singles_52.png")</f>
        <v/>
      </c>
      <c r="C52" s="8" t="s">
        <v>1623</v>
      </c>
    </row>
    <row r="53" ht="33.75" customHeight="1">
      <c r="A53" s="16" t="s">
        <v>1639</v>
      </c>
      <c r="B53" s="16" t="str">
        <f>IMAGE("https://lmztiles.s3.eu-west-1.amazonaws.com/Modern_Interiors_v41.3.4/1_Interiors/16x16/Theme_Sorter_Singles/8_Gym_Singles/Gym_Singles_53.png")</f>
        <v/>
      </c>
      <c r="C53" s="8" t="s">
        <v>1623</v>
      </c>
    </row>
    <row r="54" ht="33.75" customHeight="1">
      <c r="A54" s="16" t="s">
        <v>1640</v>
      </c>
      <c r="B54" s="16" t="str">
        <f>IMAGE("https://lmztiles.s3.eu-west-1.amazonaws.com/Modern_Interiors_v41.3.4/1_Interiors/16x16/Theme_Sorter_Singles/8_Gym_Singles/Gym_Singles_54.png")</f>
        <v/>
      </c>
      <c r="C54" s="8" t="s">
        <v>1623</v>
      </c>
    </row>
    <row r="55" ht="33.75" customHeight="1">
      <c r="A55" s="16" t="s">
        <v>1641</v>
      </c>
      <c r="B55" s="16" t="str">
        <f>IMAGE("https://lmztiles.s3.eu-west-1.amazonaws.com/Modern_Interiors_v41.3.4/1_Interiors/16x16/Theme_Sorter_Singles/8_Gym_Singles/Gym_Singles_55.png")</f>
        <v/>
      </c>
      <c r="C55" s="8" t="s">
        <v>1642</v>
      </c>
    </row>
    <row r="56" ht="33.75" customHeight="1">
      <c r="A56" s="16" t="s">
        <v>1643</v>
      </c>
      <c r="B56" s="16" t="str">
        <f>IMAGE("https://lmztiles.s3.eu-west-1.amazonaws.com/Modern_Interiors_v41.3.4/1_Interiors/16x16/Theme_Sorter_Singles/8_Gym_Singles/Gym_Singles_56.png")</f>
        <v/>
      </c>
      <c r="C56" s="8" t="s">
        <v>1642</v>
      </c>
    </row>
    <row r="57" ht="33.75" customHeight="1">
      <c r="A57" s="16" t="s">
        <v>1644</v>
      </c>
      <c r="B57" s="16" t="str">
        <f>IMAGE("https://lmztiles.s3.eu-west-1.amazonaws.com/Modern_Interiors_v41.3.4/1_Interiors/16x16/Theme_Sorter_Singles/8_Gym_Singles/Gym_Singles_57.png")</f>
        <v/>
      </c>
      <c r="C57" s="8" t="s">
        <v>1642</v>
      </c>
    </row>
    <row r="58" ht="33.75" customHeight="1">
      <c r="A58" s="16" t="s">
        <v>1645</v>
      </c>
      <c r="B58" s="16" t="str">
        <f>IMAGE("https://lmztiles.s3.eu-west-1.amazonaws.com/Modern_Interiors_v41.3.4/1_Interiors/16x16/Theme_Sorter_Singles/8_Gym_Singles/Gym_Singles_58.png")</f>
        <v/>
      </c>
      <c r="C58" s="8" t="s">
        <v>1642</v>
      </c>
    </row>
    <row r="59" ht="33.75" customHeight="1">
      <c r="A59" s="16" t="s">
        <v>1646</v>
      </c>
      <c r="B59" s="16" t="str">
        <f>IMAGE("https://lmztiles.s3.eu-west-1.amazonaws.com/Modern_Interiors_v41.3.4/1_Interiors/16x16/Theme_Sorter_Singles/8_Gym_Singles/Gym_Singles_59.png")</f>
        <v/>
      </c>
      <c r="C59" s="8" t="s">
        <v>1642</v>
      </c>
    </row>
    <row r="60" ht="33.75" customHeight="1">
      <c r="A60" s="16" t="s">
        <v>1647</v>
      </c>
      <c r="B60" s="16" t="str">
        <f>IMAGE("https://lmztiles.s3.eu-west-1.amazonaws.com/Modern_Interiors_v41.3.4/1_Interiors/16x16/Theme_Sorter_Singles/8_Gym_Singles/Gym_Singles_60.png")</f>
        <v/>
      </c>
      <c r="C60" s="8" t="s">
        <v>1642</v>
      </c>
    </row>
    <row r="61" ht="33.75" customHeight="1">
      <c r="A61" s="16" t="s">
        <v>1648</v>
      </c>
      <c r="B61" s="16" t="str">
        <f>IMAGE("https://lmztiles.s3.eu-west-1.amazonaws.com/Modern_Interiors_v41.3.4/1_Interiors/16x16/Theme_Sorter_Singles/8_Gym_Singles/Gym_Singles_61.png")</f>
        <v/>
      </c>
      <c r="C61" s="8" t="s">
        <v>1642</v>
      </c>
    </row>
    <row r="62" ht="33.75" customHeight="1">
      <c r="A62" s="16" t="s">
        <v>1649</v>
      </c>
      <c r="B62" s="16" t="str">
        <f>IMAGE("https://lmztiles.s3.eu-west-1.amazonaws.com/Modern_Interiors_v41.3.4/1_Interiors/16x16/Theme_Sorter_Singles/8_Gym_Singles/Gym_Singles_62.png")</f>
        <v/>
      </c>
      <c r="C62" s="8" t="s">
        <v>1642</v>
      </c>
    </row>
    <row r="63" ht="33.75" customHeight="1">
      <c r="A63" s="16" t="s">
        <v>1650</v>
      </c>
      <c r="B63" s="16" t="str">
        <f>IMAGE("https://lmztiles.s3.eu-west-1.amazonaws.com/Modern_Interiors_v41.3.4/1_Interiors/16x16/Theme_Sorter_Singles/8_Gym_Singles/Gym_Singles_63.png")</f>
        <v/>
      </c>
      <c r="C63" s="8" t="s">
        <v>1642</v>
      </c>
    </row>
    <row r="64" ht="33.75" customHeight="1">
      <c r="A64" s="16" t="s">
        <v>1651</v>
      </c>
      <c r="B64" s="16" t="str">
        <f>IMAGE("https://lmztiles.s3.eu-west-1.amazonaws.com/Modern_Interiors_v41.3.4/1_Interiors/16x16/Theme_Sorter_Singles/8_Gym_Singles/Gym_Singles_64.png")</f>
        <v/>
      </c>
      <c r="C64" s="8" t="s">
        <v>1652</v>
      </c>
    </row>
    <row r="65" ht="33.75" customHeight="1">
      <c r="A65" s="16" t="s">
        <v>1653</v>
      </c>
      <c r="B65" s="16" t="str">
        <f>IMAGE("https://lmztiles.s3.eu-west-1.amazonaws.com/Modern_Interiors_v41.3.4/1_Interiors/16x16/Theme_Sorter_Singles/8_Gym_Singles/Gym_Singles_65.png")</f>
        <v/>
      </c>
      <c r="C65" s="8" t="s">
        <v>1652</v>
      </c>
    </row>
    <row r="66" ht="33.75" customHeight="1">
      <c r="A66" s="16" t="s">
        <v>1654</v>
      </c>
      <c r="B66" s="16" t="str">
        <f>IMAGE("https://lmztiles.s3.eu-west-1.amazonaws.com/Modern_Interiors_v41.3.4/1_Interiors/16x16/Theme_Sorter_Singles/8_Gym_Singles/Gym_Singles_66.png")</f>
        <v/>
      </c>
      <c r="C66" s="8" t="s">
        <v>1652</v>
      </c>
    </row>
    <row r="67" ht="33.75" customHeight="1">
      <c r="A67" s="16" t="s">
        <v>1655</v>
      </c>
      <c r="B67" s="16" t="str">
        <f>IMAGE("https://lmztiles.s3.eu-west-1.amazonaws.com/Modern_Interiors_v41.3.4/1_Interiors/16x16/Theme_Sorter_Singles/8_Gym_Singles/Gym_Singles_67.png")</f>
        <v/>
      </c>
      <c r="C67" s="8" t="s">
        <v>1652</v>
      </c>
    </row>
    <row r="68" ht="33.75" customHeight="1">
      <c r="A68" s="16" t="s">
        <v>1656</v>
      </c>
      <c r="B68" s="16" t="str">
        <f>IMAGE("https://lmztiles.s3.eu-west-1.amazonaws.com/Modern_Interiors_v41.3.4/1_Interiors/16x16/Theme_Sorter_Singles/8_Gym_Singles/Gym_Singles_68.png")</f>
        <v/>
      </c>
      <c r="C68" s="8" t="s">
        <v>1657</v>
      </c>
    </row>
    <row r="69" ht="33.75" customHeight="1">
      <c r="A69" s="16" t="s">
        <v>1658</v>
      </c>
      <c r="B69" s="16" t="str">
        <f>IMAGE("https://lmztiles.s3.eu-west-1.amazonaws.com/Modern_Interiors_v41.3.4/1_Interiors/16x16/Theme_Sorter_Singles/8_Gym_Singles/Gym_Singles_69.png")</f>
        <v/>
      </c>
      <c r="C69" s="8" t="s">
        <v>1657</v>
      </c>
    </row>
    <row r="70" ht="33.75" customHeight="1">
      <c r="A70" s="16" t="s">
        <v>1659</v>
      </c>
      <c r="B70" s="16" t="str">
        <f>IMAGE("https://lmztiles.s3.eu-west-1.amazonaws.com/Modern_Interiors_v41.3.4/1_Interiors/16x16/Theme_Sorter_Singles/8_Gym_Singles/Gym_Singles_70.png")</f>
        <v/>
      </c>
      <c r="C70" s="8" t="s">
        <v>1660</v>
      </c>
    </row>
    <row r="71" ht="33.75" customHeight="1">
      <c r="A71" s="16" t="s">
        <v>1661</v>
      </c>
      <c r="B71" s="16" t="str">
        <f>IMAGE("https://lmztiles.s3.eu-west-1.amazonaws.com/Modern_Interiors_v41.3.4/1_Interiors/16x16/Theme_Sorter_Singles/8_Gym_Singles/Gym_Singles_71.png")</f>
        <v/>
      </c>
      <c r="C71" s="8" t="s">
        <v>1662</v>
      </c>
    </row>
    <row r="72" ht="33.75" customHeight="1">
      <c r="A72" s="16" t="s">
        <v>1663</v>
      </c>
      <c r="B72" s="16" t="str">
        <f>IMAGE("https://lmztiles.s3.eu-west-1.amazonaws.com/Modern_Interiors_v41.3.4/1_Interiors/16x16/Theme_Sorter_Singles/8_Gym_Singles/Gym_Singles_72.png")</f>
        <v/>
      </c>
      <c r="C72" s="8" t="s">
        <v>1664</v>
      </c>
    </row>
    <row r="73" ht="33.75" customHeight="1">
      <c r="A73" s="16" t="s">
        <v>1665</v>
      </c>
      <c r="B73" s="16" t="str">
        <f>IMAGE("https://lmztiles.s3.eu-west-1.amazonaws.com/Modern_Interiors_v41.3.4/1_Interiors/16x16/Theme_Sorter_Singles/8_Gym_Singles/Gym_Singles_73.png")</f>
        <v/>
      </c>
      <c r="C73" s="8" t="s">
        <v>1666</v>
      </c>
    </row>
    <row r="74" ht="33.75" customHeight="1">
      <c r="A74" s="16" t="s">
        <v>1667</v>
      </c>
      <c r="B74" s="16" t="str">
        <f>IMAGE("https://lmztiles.s3.eu-west-1.amazonaws.com/Modern_Interiors_v41.3.4/1_Interiors/16x16/Theme_Sorter_Singles/8_Gym_Singles/Gym_Singles_74.png")</f>
        <v/>
      </c>
      <c r="C74" s="8" t="s">
        <v>1666</v>
      </c>
    </row>
    <row r="75" ht="33.75" customHeight="1">
      <c r="A75" s="16" t="s">
        <v>1668</v>
      </c>
      <c r="B75" s="16" t="str">
        <f>IMAGE("https://lmztiles.s3.eu-west-1.amazonaws.com/Modern_Interiors_v41.3.4/1_Interiors/16x16/Theme_Sorter_Singles/8_Gym_Singles/Gym_Singles_75.png")</f>
        <v/>
      </c>
      <c r="C75" s="8" t="s">
        <v>1669</v>
      </c>
    </row>
    <row r="76" ht="33.75" customHeight="1">
      <c r="A76" s="16" t="s">
        <v>1670</v>
      </c>
      <c r="B76" s="16" t="str">
        <f>IMAGE("https://lmztiles.s3.eu-west-1.amazonaws.com/Modern_Interiors_v41.3.4/1_Interiors/16x16/Theme_Sorter_Singles/8_Gym_Singles/Gym_Singles_76.png")</f>
        <v/>
      </c>
      <c r="C76" s="8" t="s">
        <v>1669</v>
      </c>
    </row>
    <row r="77" ht="33.75" customHeight="1">
      <c r="A77" s="16" t="s">
        <v>1671</v>
      </c>
      <c r="B77" s="16" t="str">
        <f>IMAGE("https://lmztiles.s3.eu-west-1.amazonaws.com/Modern_Interiors_v41.3.4/1_Interiors/16x16/Theme_Sorter_Singles/8_Gym_Singles/Gym_Singles_77.png")</f>
        <v/>
      </c>
      <c r="C77" s="8" t="s">
        <v>1672</v>
      </c>
    </row>
    <row r="78" ht="33.75" customHeight="1">
      <c r="A78" s="16" t="s">
        <v>1673</v>
      </c>
      <c r="B78" s="16" t="str">
        <f>IMAGE("https://lmztiles.s3.eu-west-1.amazonaws.com/Modern_Interiors_v41.3.4/1_Interiors/16x16/Theme_Sorter_Singles/8_Gym_Singles/Gym_Singles_78.png")</f>
        <v/>
      </c>
      <c r="C78" s="8" t="s">
        <v>1672</v>
      </c>
    </row>
    <row r="79" ht="33.75" customHeight="1">
      <c r="A79" s="16" t="s">
        <v>1674</v>
      </c>
      <c r="B79" s="16" t="str">
        <f>IMAGE("https://lmztiles.s3.eu-west-1.amazonaws.com/Modern_Interiors_v41.3.4/1_Interiors/16x16/Theme_Sorter_Singles/8_Gym_Singles/Gym_Singles_79.png")</f>
        <v/>
      </c>
      <c r="C79" s="8" t="s">
        <v>1675</v>
      </c>
    </row>
    <row r="80" ht="33.75" customHeight="1">
      <c r="A80" s="16" t="s">
        <v>1676</v>
      </c>
      <c r="B80" s="16" t="str">
        <f>IMAGE("https://lmztiles.s3.eu-west-1.amazonaws.com/Modern_Interiors_v41.3.4/1_Interiors/16x16/Theme_Sorter_Singles/8_Gym_Singles/Gym_Singles_80.png")</f>
        <v/>
      </c>
      <c r="C80" s="8" t="s">
        <v>1677</v>
      </c>
    </row>
    <row r="81" ht="33.75" customHeight="1">
      <c r="A81" s="16" t="s">
        <v>1678</v>
      </c>
      <c r="B81" s="16" t="str">
        <f>IMAGE("https://lmztiles.s3.eu-west-1.amazonaws.com/Modern_Interiors_v41.3.4/1_Interiors/16x16/Theme_Sorter_Singles/8_Gym_Singles/Gym_Singles_81.png")</f>
        <v/>
      </c>
      <c r="C81" s="8" t="s">
        <v>1679</v>
      </c>
    </row>
    <row r="82" ht="33.75" customHeight="1">
      <c r="A82" s="16" t="s">
        <v>1680</v>
      </c>
      <c r="B82" s="16" t="str">
        <f>IMAGE("https://lmztiles.s3.eu-west-1.amazonaws.com/Modern_Interiors_v41.3.4/1_Interiors/16x16/Theme_Sorter_Singles/8_Gym_Singles/Gym_Singles_82.png")</f>
        <v/>
      </c>
      <c r="C82" s="8" t="s">
        <v>1681</v>
      </c>
    </row>
    <row r="83" ht="33.75" customHeight="1">
      <c r="A83" s="16" t="s">
        <v>1682</v>
      </c>
      <c r="B83" s="16" t="str">
        <f>IMAGE("https://lmztiles.s3.eu-west-1.amazonaws.com/Modern_Interiors_v41.3.4/1_Interiors/16x16/Theme_Sorter_Singles/8_Gym_Singles/Gym_Singles_83.png")</f>
        <v/>
      </c>
      <c r="C83" s="8" t="s">
        <v>1681</v>
      </c>
    </row>
    <row r="84" ht="33.75" customHeight="1">
      <c r="A84" s="16" t="s">
        <v>1683</v>
      </c>
      <c r="B84" s="16" t="str">
        <f>IMAGE("https://lmztiles.s3.eu-west-1.amazonaws.com/Modern_Interiors_v41.3.4/1_Interiors/16x16/Theme_Sorter_Singles/8_Gym_Singles/Gym_Singles_84.png")</f>
        <v/>
      </c>
      <c r="C84" s="8" t="s">
        <v>1681</v>
      </c>
    </row>
    <row r="85" ht="33.75" customHeight="1">
      <c r="A85" s="16" t="s">
        <v>1684</v>
      </c>
      <c r="B85" s="16" t="str">
        <f>IMAGE("https://lmztiles.s3.eu-west-1.amazonaws.com/Modern_Interiors_v41.3.4/1_Interiors/16x16/Theme_Sorter_Singles/8_Gym_Singles/Gym_Singles_85.png")</f>
        <v/>
      </c>
      <c r="C85" s="8" t="s">
        <v>1681</v>
      </c>
    </row>
    <row r="86" ht="33.75" customHeight="1">
      <c r="A86" s="16" t="s">
        <v>1685</v>
      </c>
      <c r="B86" s="16" t="str">
        <f>IMAGE("https://lmztiles.s3.eu-west-1.amazonaws.com/Modern_Interiors_v41.3.4/1_Interiors/16x16/Theme_Sorter_Singles/8_Gym_Singles/Gym_Singles_86.png")</f>
        <v/>
      </c>
      <c r="C86" s="8" t="s">
        <v>1681</v>
      </c>
    </row>
    <row r="87" ht="33.75" customHeight="1">
      <c r="A87" s="16" t="s">
        <v>1686</v>
      </c>
      <c r="B87" s="16" t="str">
        <f>IMAGE("https://lmztiles.s3.eu-west-1.amazonaws.com/Modern_Interiors_v41.3.4/1_Interiors/16x16/Theme_Sorter_Singles/8_Gym_Singles/Gym_Singles_87.png")</f>
        <v/>
      </c>
      <c r="C87" s="8" t="s">
        <v>1687</v>
      </c>
    </row>
    <row r="88" ht="33.75" customHeight="1">
      <c r="A88" s="16" t="s">
        <v>1688</v>
      </c>
      <c r="B88" s="16" t="str">
        <f>IMAGE("https://lmztiles.s3.eu-west-1.amazonaws.com/Modern_Interiors_v41.3.4/1_Interiors/16x16/Theme_Sorter_Singles/8_Gym_Singles/Gym_Singles_88.png")</f>
        <v/>
      </c>
      <c r="C88" s="8" t="s">
        <v>1687</v>
      </c>
    </row>
    <row r="89" ht="33.75" customHeight="1">
      <c r="A89" s="16" t="s">
        <v>1689</v>
      </c>
      <c r="B89" s="16" t="str">
        <f>IMAGE("https://lmztiles.s3.eu-west-1.amazonaws.com/Modern_Interiors_v41.3.4/1_Interiors/16x16/Theme_Sorter_Singles/8_Gym_Singles/Gym_Singles_89.png")</f>
        <v/>
      </c>
      <c r="C89" s="8" t="s">
        <v>1687</v>
      </c>
    </row>
    <row r="90" ht="33.75" customHeight="1">
      <c r="A90" s="16" t="s">
        <v>1690</v>
      </c>
      <c r="B90" s="16" t="str">
        <f>IMAGE("https://lmztiles.s3.eu-west-1.amazonaws.com/Modern_Interiors_v41.3.4/1_Interiors/16x16/Theme_Sorter_Singles/8_Gym_Singles/Gym_Singles_90.png")</f>
        <v/>
      </c>
      <c r="C90" s="8" t="s">
        <v>1687</v>
      </c>
    </row>
    <row r="91" ht="33.75" customHeight="1">
      <c r="A91" s="16" t="s">
        <v>1691</v>
      </c>
      <c r="B91" s="16" t="str">
        <f>IMAGE("https://lmztiles.s3.eu-west-1.amazonaws.com/Modern_Interiors_v41.3.4/1_Interiors/16x16/Theme_Sorter_Singles/8_Gym_Singles/Gym_Singles_91.png")</f>
        <v/>
      </c>
      <c r="C91" s="8" t="s">
        <v>1692</v>
      </c>
    </row>
    <row r="92" ht="33.75" customHeight="1">
      <c r="A92" s="16" t="s">
        <v>1693</v>
      </c>
      <c r="B92" s="16" t="str">
        <f>IMAGE("https://lmztiles.s3.eu-west-1.amazonaws.com/Modern_Interiors_v41.3.4/1_Interiors/16x16/Theme_Sorter_Singles/8_Gym_Singles/Gym_Singles_92.png")</f>
        <v/>
      </c>
      <c r="C92" s="8" t="s">
        <v>1694</v>
      </c>
    </row>
    <row r="93" ht="33.75" customHeight="1">
      <c r="A93" s="16" t="s">
        <v>1695</v>
      </c>
      <c r="B93" s="16" t="str">
        <f>IMAGE("https://lmztiles.s3.eu-west-1.amazonaws.com/Modern_Interiors_v41.3.4/1_Interiors/16x16/Theme_Sorter_Singles/8_Gym_Singles/Gym_Singles_93.png")</f>
        <v/>
      </c>
      <c r="C93" s="8" t="s">
        <v>1696</v>
      </c>
    </row>
    <row r="94" ht="33.75" customHeight="1">
      <c r="A94" s="16" t="s">
        <v>1697</v>
      </c>
      <c r="B94" s="16" t="str">
        <f>IMAGE("https://lmztiles.s3.eu-west-1.amazonaws.com/Modern_Interiors_v41.3.4/1_Interiors/16x16/Theme_Sorter_Singles/8_Gym_Singles/Gym_Singles_94.png")</f>
        <v/>
      </c>
      <c r="C94" s="8" t="s">
        <v>1698</v>
      </c>
    </row>
    <row r="95" ht="33.75" customHeight="1">
      <c r="A95" s="16" t="s">
        <v>1699</v>
      </c>
      <c r="B95" s="16" t="str">
        <f>IMAGE("https://lmztiles.s3.eu-west-1.amazonaws.com/Modern_Interiors_v41.3.4/1_Interiors/16x16/Theme_Sorter_Singles/8_Gym_Singles/Gym_Singles_95.png")</f>
        <v/>
      </c>
      <c r="C95" s="8" t="s">
        <v>1700</v>
      </c>
    </row>
    <row r="96" ht="33.75" customHeight="1">
      <c r="A96" s="16" t="s">
        <v>1701</v>
      </c>
      <c r="B96" s="16" t="str">
        <f>IMAGE("https://lmztiles.s3.eu-west-1.amazonaws.com/Modern_Interiors_v41.3.4/1_Interiors/16x16/Theme_Sorter_Singles/8_Gym_Singles/Gym_Singles_96.png")</f>
        <v/>
      </c>
      <c r="C96" s="8" t="s">
        <v>1702</v>
      </c>
    </row>
    <row r="97" ht="33.75" customHeight="1">
      <c r="A97" s="16" t="s">
        <v>1703</v>
      </c>
      <c r="B97" s="16" t="str">
        <f>IMAGE("https://lmztiles.s3.eu-west-1.amazonaws.com/Modern_Interiors_v41.3.4/1_Interiors/16x16/Theme_Sorter_Singles/8_Gym_Singles/Gym_Singles_97.png")</f>
        <v/>
      </c>
      <c r="C97" s="8" t="s">
        <v>1702</v>
      </c>
    </row>
    <row r="98" ht="33.75" customHeight="1">
      <c r="A98" s="16" t="s">
        <v>1704</v>
      </c>
      <c r="B98" s="16" t="str">
        <f>IMAGE("https://lmztiles.s3.eu-west-1.amazonaws.com/Modern_Interiors_v41.3.4/1_Interiors/16x16/Theme_Sorter_Singles/8_Gym_Singles/Gym_Singles_98.png")</f>
        <v/>
      </c>
      <c r="C98" s="8" t="s">
        <v>1705</v>
      </c>
    </row>
    <row r="99" ht="33.75" customHeight="1">
      <c r="A99" s="16" t="s">
        <v>1706</v>
      </c>
      <c r="B99" s="16" t="str">
        <f>IMAGE("https://lmztiles.s3.eu-west-1.amazonaws.com/Modern_Interiors_v41.3.4/1_Interiors/16x16/Theme_Sorter_Singles/8_Gym_Singles/Gym_Singles_99.png")</f>
        <v/>
      </c>
      <c r="C99" s="8" t="s">
        <v>1705</v>
      </c>
    </row>
    <row r="100" ht="33.75" customHeight="1">
      <c r="A100" s="16" t="s">
        <v>1707</v>
      </c>
      <c r="B100" s="16" t="str">
        <f>IMAGE("https://lmztiles.s3.eu-west-1.amazonaws.com/Modern_Interiors_v41.3.4/1_Interiors/16x16/Theme_Sorter_Singles/8_Gym_Singles/Gym_Singles_100.png")</f>
        <v/>
      </c>
      <c r="C100" s="8" t="s">
        <v>1708</v>
      </c>
    </row>
    <row r="101" ht="33.75" customHeight="1">
      <c r="A101" s="16" t="s">
        <v>1709</v>
      </c>
      <c r="B101" s="16" t="str">
        <f>IMAGE("https://lmztiles.s3.eu-west-1.amazonaws.com/Modern_Interiors_v41.3.4/1_Interiors/16x16/Theme_Sorter_Singles/8_Gym_Singles/Gym_Singles_101.png")</f>
        <v/>
      </c>
      <c r="C101" s="8" t="s">
        <v>1708</v>
      </c>
    </row>
    <row r="102" ht="33.75" customHeight="1">
      <c r="A102" s="16" t="s">
        <v>1710</v>
      </c>
      <c r="B102" s="16" t="str">
        <f>IMAGE("https://lmztiles.s3.eu-west-1.amazonaws.com/Modern_Interiors_v41.3.4/1_Interiors/16x16/Theme_Sorter_Singles/8_Gym_Singles/Gym_Singles_102.png")</f>
        <v/>
      </c>
      <c r="C102" s="8" t="s">
        <v>1711</v>
      </c>
    </row>
    <row r="103" ht="33.75" customHeight="1">
      <c r="A103" s="16" t="s">
        <v>1712</v>
      </c>
      <c r="B103" s="16" t="str">
        <f>IMAGE("https://lmztiles.s3.eu-west-1.amazonaws.com/Modern_Interiors_v41.3.4/1_Interiors/16x16/Theme_Sorter_Singles/8_Gym_Singles/Gym_Singles_103.png")</f>
        <v/>
      </c>
      <c r="C103" s="8" t="s">
        <v>1711</v>
      </c>
    </row>
    <row r="104" ht="33.75" customHeight="1">
      <c r="A104" s="16" t="s">
        <v>1713</v>
      </c>
      <c r="B104" s="16" t="str">
        <f>IMAGE("https://lmztiles.s3.eu-west-1.amazonaws.com/Modern_Interiors_v41.3.4/1_Interiors/16x16/Theme_Sorter_Singles/8_Gym_Singles/Gym_Singles_104.png")</f>
        <v/>
      </c>
      <c r="C104" s="8" t="s">
        <v>1714</v>
      </c>
    </row>
    <row r="105" ht="33.75" customHeight="1">
      <c r="A105" s="16" t="s">
        <v>1715</v>
      </c>
      <c r="B105" s="16" t="str">
        <f>IMAGE("https://lmztiles.s3.eu-west-1.amazonaws.com/Modern_Interiors_v41.3.4/1_Interiors/16x16/Theme_Sorter_Singles/8_Gym_Singles/Gym_Singles_105.png")</f>
        <v/>
      </c>
      <c r="C105" s="8" t="s">
        <v>1714</v>
      </c>
    </row>
    <row r="106" ht="33.75" customHeight="1">
      <c r="A106" s="16" t="s">
        <v>1716</v>
      </c>
      <c r="B106" s="16" t="str">
        <f>IMAGE("https://lmztiles.s3.eu-west-1.amazonaws.com/Modern_Interiors_v41.3.4/1_Interiors/16x16/Theme_Sorter_Singles/8_Gym_Singles/Gym_Singles_106.png")</f>
        <v/>
      </c>
      <c r="C106" s="8" t="s">
        <v>1717</v>
      </c>
    </row>
    <row r="107" ht="33.75" customHeight="1">
      <c r="A107" s="16" t="s">
        <v>1718</v>
      </c>
      <c r="B107" s="16" t="str">
        <f>IMAGE("https://lmztiles.s3.eu-west-1.amazonaws.com/Modern_Interiors_v41.3.4/1_Interiors/16x16/Theme_Sorter_Singles/8_Gym_Singles/Gym_Singles_107.png")</f>
        <v/>
      </c>
      <c r="C107" s="8" t="s">
        <v>1717</v>
      </c>
    </row>
    <row r="108" ht="33.75" customHeight="1">
      <c r="A108" s="16" t="s">
        <v>1719</v>
      </c>
      <c r="B108" s="16" t="str">
        <f>IMAGE("https://lmztiles.s3.eu-west-1.amazonaws.com/Modern_Interiors_v41.3.4/1_Interiors/16x16/Theme_Sorter_Singles/8_Gym_Singles/Gym_Singles_108.png")</f>
        <v/>
      </c>
      <c r="C108" s="8" t="s">
        <v>1720</v>
      </c>
    </row>
    <row r="109" ht="33.75" customHeight="1">
      <c r="A109" s="16" t="s">
        <v>1721</v>
      </c>
      <c r="B109" s="16" t="str">
        <f>IMAGE("https://lmztiles.s3.eu-west-1.amazonaws.com/Modern_Interiors_v41.3.4/1_Interiors/16x16/Theme_Sorter_Singles/8_Gym_Singles/Gym_Singles_109.png")</f>
        <v/>
      </c>
      <c r="C109" s="8" t="s">
        <v>1720</v>
      </c>
    </row>
    <row r="110" ht="33.75" customHeight="1">
      <c r="A110" s="16" t="s">
        <v>1722</v>
      </c>
      <c r="B110" s="16" t="str">
        <f>IMAGE("https://lmztiles.s3.eu-west-1.amazonaws.com/Modern_Interiors_v41.3.4/1_Interiors/16x16/Theme_Sorter_Singles/8_Gym_Singles/Gym_Singles_110.png")</f>
        <v/>
      </c>
      <c r="C110" s="8" t="s">
        <v>1723</v>
      </c>
    </row>
    <row r="111" ht="33.75" customHeight="1">
      <c r="A111" s="16" t="s">
        <v>1724</v>
      </c>
      <c r="B111" s="16" t="str">
        <f>IMAGE("https://lmztiles.s3.eu-west-1.amazonaws.com/Modern_Interiors_v41.3.4/1_Interiors/16x16/Theme_Sorter_Singles/8_Gym_Singles/Gym_Singles_111.png")</f>
        <v/>
      </c>
      <c r="C111" s="8" t="s">
        <v>1723</v>
      </c>
    </row>
    <row r="112" ht="33.75" customHeight="1">
      <c r="A112" s="16" t="s">
        <v>1725</v>
      </c>
      <c r="B112" s="16" t="str">
        <f>IMAGE("https://lmztiles.s3.eu-west-1.amazonaws.com/Modern_Interiors_v41.3.4/1_Interiors/16x16/Theme_Sorter_Singles/8_Gym_Singles/Gym_Singles_112.png")</f>
        <v/>
      </c>
      <c r="C112" s="8" t="s">
        <v>1726</v>
      </c>
    </row>
    <row r="113" ht="33.75" customHeight="1">
      <c r="A113" s="16" t="s">
        <v>1727</v>
      </c>
      <c r="B113" s="16" t="str">
        <f>IMAGE("https://lmztiles.s3.eu-west-1.amazonaws.com/Modern_Interiors_v41.3.4/1_Interiors/16x16/Theme_Sorter_Singles/8_Gym_Singles/Gym_Singles_113.png")</f>
        <v/>
      </c>
      <c r="C113" s="8" t="s">
        <v>1726</v>
      </c>
    </row>
    <row r="114" ht="33.75" customHeight="1">
      <c r="A114" s="16" t="s">
        <v>1728</v>
      </c>
      <c r="B114" s="16" t="str">
        <f>IMAGE("https://lmztiles.s3.eu-west-1.amazonaws.com/Modern_Interiors_v41.3.4/1_Interiors/16x16/Theme_Sorter_Singles/8_Gym_Singles/Gym_Singles_114.png")</f>
        <v/>
      </c>
      <c r="C114" s="8" t="s">
        <v>1729</v>
      </c>
    </row>
    <row r="115" ht="33.75" customHeight="1">
      <c r="A115" s="16" t="s">
        <v>1730</v>
      </c>
      <c r="B115" s="16" t="str">
        <f>IMAGE("https://lmztiles.s3.eu-west-1.amazonaws.com/Modern_Interiors_v41.3.4/1_Interiors/16x16/Theme_Sorter_Singles/8_Gym_Singles/Gym_Singles_115.png")</f>
        <v/>
      </c>
      <c r="C115" s="8" t="s">
        <v>1729</v>
      </c>
    </row>
    <row r="116" ht="33.75" customHeight="1">
      <c r="A116" s="16" t="s">
        <v>1731</v>
      </c>
      <c r="B116" s="16" t="str">
        <f>IMAGE("https://lmztiles.s3.eu-west-1.amazonaws.com/Modern_Interiors_v41.3.4/1_Interiors/16x16/Theme_Sorter_Singles/8_Gym_Singles/Gym_Singles_116.png")</f>
        <v/>
      </c>
      <c r="C116" s="8" t="s">
        <v>1729</v>
      </c>
    </row>
    <row r="117" ht="33.75" customHeight="1">
      <c r="A117" s="16" t="s">
        <v>1732</v>
      </c>
      <c r="B117" s="16" t="str">
        <f>IMAGE("https://lmztiles.s3.eu-west-1.amazonaws.com/Modern_Interiors_v41.3.4/1_Interiors/16x16/Theme_Sorter_Singles/8_Gym_Singles/Gym_Singles_117.png")</f>
        <v/>
      </c>
      <c r="C117" s="8" t="s">
        <v>1729</v>
      </c>
    </row>
    <row r="118" ht="33.75" customHeight="1">
      <c r="A118" s="16" t="s">
        <v>1733</v>
      </c>
      <c r="B118" s="16" t="str">
        <f>IMAGE("https://lmztiles.s3.eu-west-1.amazonaws.com/Modern_Interiors_v41.3.4/1_Interiors/16x16/Theme_Sorter_Singles/8_Gym_Singles/Gym_Singles_118.png")</f>
        <v/>
      </c>
      <c r="C118" s="8" t="s">
        <v>1729</v>
      </c>
    </row>
    <row r="119" ht="33.75" customHeight="1">
      <c r="A119" s="16" t="s">
        <v>1734</v>
      </c>
      <c r="B119" s="16" t="str">
        <f>IMAGE("https://lmztiles.s3.eu-west-1.amazonaws.com/Modern_Interiors_v41.3.4/1_Interiors/16x16/Theme_Sorter_Singles/8_Gym_Singles/Gym_Singles_119.png")</f>
        <v/>
      </c>
      <c r="C119" s="8" t="s">
        <v>1729</v>
      </c>
    </row>
    <row r="120" ht="33.75" customHeight="1">
      <c r="A120" s="16" t="s">
        <v>1735</v>
      </c>
      <c r="B120" s="16" t="str">
        <f>IMAGE("https://lmztiles.s3.eu-west-1.amazonaws.com/Modern_Interiors_v41.3.4/1_Interiors/16x16/Theme_Sorter_Singles/8_Gym_Singles/Gym_Singles_120.png")</f>
        <v/>
      </c>
      <c r="C120" s="8" t="s">
        <v>1736</v>
      </c>
    </row>
    <row r="121" ht="33.75" customHeight="1">
      <c r="A121" s="16" t="s">
        <v>1737</v>
      </c>
      <c r="B121" s="16" t="str">
        <f>IMAGE("https://lmztiles.s3.eu-west-1.amazonaws.com/Modern_Interiors_v41.3.4/1_Interiors/16x16/Theme_Sorter_Singles/8_Gym_Singles/Gym_Singles_121.png")</f>
        <v/>
      </c>
      <c r="C121" s="8" t="s">
        <v>1738</v>
      </c>
    </row>
    <row r="122" ht="33.75" customHeight="1">
      <c r="A122" s="16" t="s">
        <v>1739</v>
      </c>
      <c r="B122" s="16" t="str">
        <f>IMAGE("https://lmztiles.s3.eu-west-1.amazonaws.com/Modern_Interiors_v41.3.4/1_Interiors/16x16/Theme_Sorter_Singles/8_Gym_Singles/Gym_Singles_122.png")</f>
        <v/>
      </c>
      <c r="C122" s="8" t="s">
        <v>1740</v>
      </c>
    </row>
    <row r="123" ht="33.75" customHeight="1">
      <c r="A123" s="16" t="s">
        <v>1741</v>
      </c>
      <c r="B123" s="16" t="str">
        <f>IMAGE("https://lmztiles.s3.eu-west-1.amazonaws.com/Modern_Interiors_v41.3.4/1_Interiors/16x16/Theme_Sorter_Singles/8_Gym_Singles/Gym_Singles_123.png")</f>
        <v/>
      </c>
      <c r="C123" s="8" t="s">
        <v>1742</v>
      </c>
    </row>
    <row r="124" ht="33.75" customHeight="1">
      <c r="A124" s="16" t="s">
        <v>1743</v>
      </c>
      <c r="B124" s="16" t="str">
        <f>IMAGE("https://lmztiles.s3.eu-west-1.amazonaws.com/Modern_Interiors_v41.3.4/1_Interiors/16x16/Theme_Sorter_Singles/8_Gym_Singles/Gym_Singles_124.png")</f>
        <v/>
      </c>
      <c r="C124" s="8" t="s">
        <v>1736</v>
      </c>
    </row>
    <row r="125" ht="33.75" customHeight="1">
      <c r="A125" s="16" t="s">
        <v>1744</v>
      </c>
      <c r="B125" s="16" t="str">
        <f>IMAGE("https://lmztiles.s3.eu-west-1.amazonaws.com/Modern_Interiors_v41.3.4/1_Interiors/16x16/Theme_Sorter_Singles/8_Gym_Singles/Gym_Singles_125.png")</f>
        <v/>
      </c>
      <c r="C125" s="8" t="s">
        <v>1738</v>
      </c>
    </row>
    <row r="126" ht="33.75" customHeight="1">
      <c r="A126" s="16" t="s">
        <v>1745</v>
      </c>
      <c r="B126" s="16" t="str">
        <f>IMAGE("https://lmztiles.s3.eu-west-1.amazonaws.com/Modern_Interiors_v41.3.4/1_Interiors/16x16/Theme_Sorter_Singles/8_Gym_Singles/Gym_Singles_126.png")</f>
        <v/>
      </c>
      <c r="C126" s="8" t="s">
        <v>1740</v>
      </c>
    </row>
    <row r="127" ht="33.75" customHeight="1">
      <c r="A127" s="16" t="s">
        <v>1746</v>
      </c>
      <c r="B127" s="16" t="str">
        <f>IMAGE("https://lmztiles.s3.eu-west-1.amazonaws.com/Modern_Interiors_v41.3.4/1_Interiors/16x16/Theme_Sorter_Singles/8_Gym_Singles/Gym_Singles_127.png")</f>
        <v/>
      </c>
      <c r="C127" s="8" t="s">
        <v>1742</v>
      </c>
    </row>
    <row r="128" ht="33.75" customHeight="1">
      <c r="A128" s="16" t="s">
        <v>1747</v>
      </c>
      <c r="B128" s="16" t="str">
        <f>IMAGE("https://lmztiles.s3.eu-west-1.amazonaws.com/Modern_Interiors_v41.3.4/1_Interiors/16x16/Theme_Sorter_Singles/8_Gym_Singles/Gym_Singles_128.png")</f>
        <v/>
      </c>
      <c r="C128" s="8" t="s">
        <v>1729</v>
      </c>
    </row>
    <row r="129" ht="33.75" customHeight="1">
      <c r="A129" s="16" t="s">
        <v>1748</v>
      </c>
      <c r="B129" s="16" t="str">
        <f>IMAGE("https://lmztiles.s3.eu-west-1.amazonaws.com/Modern_Interiors_v41.3.4/1_Interiors/16x16/Theme_Sorter_Singles/8_Gym_Singles/Gym_Singles_129.png")</f>
        <v/>
      </c>
      <c r="C129" s="8" t="s">
        <v>1729</v>
      </c>
    </row>
    <row r="130" ht="33.75" customHeight="1">
      <c r="A130" s="16" t="s">
        <v>1749</v>
      </c>
      <c r="B130" s="16" t="str">
        <f>IMAGE("https://lmztiles.s3.eu-west-1.amazonaws.com/Modern_Interiors_v41.3.4/1_Interiors/16x16/Theme_Sorter_Singles/8_Gym_Singles/Gym_Singles_130.png")</f>
        <v/>
      </c>
      <c r="C130" s="8" t="s">
        <v>1729</v>
      </c>
    </row>
    <row r="131" ht="33.75" customHeight="1">
      <c r="A131" s="16" t="s">
        <v>1750</v>
      </c>
      <c r="B131" s="16" t="str">
        <f>IMAGE("https://lmztiles.s3.eu-west-1.amazonaws.com/Modern_Interiors_v41.3.4/1_Interiors/16x16/Theme_Sorter_Singles/8_Gym_Singles/Gym_Singles_131.png")</f>
        <v/>
      </c>
      <c r="C131" s="8" t="s">
        <v>1729</v>
      </c>
    </row>
    <row r="132" ht="33.75" customHeight="1">
      <c r="A132" s="16" t="s">
        <v>1751</v>
      </c>
      <c r="B132" s="16" t="str">
        <f>IMAGE("https://lmztiles.s3.eu-west-1.amazonaws.com/Modern_Interiors_v41.3.4/1_Interiors/16x16/Theme_Sorter_Singles/8_Gym_Singles/Gym_Singles_132.png")</f>
        <v/>
      </c>
      <c r="C132" s="8" t="s">
        <v>1729</v>
      </c>
    </row>
    <row r="133" ht="33.75" customHeight="1">
      <c r="A133" s="16" t="s">
        <v>1752</v>
      </c>
      <c r="B133" s="16" t="str">
        <f>IMAGE("https://lmztiles.s3.eu-west-1.amazonaws.com/Modern_Interiors_v41.3.4/1_Interiors/16x16/Theme_Sorter_Singles/8_Gym_Singles/Gym_Singles_133.png")</f>
        <v/>
      </c>
      <c r="C133" s="8" t="s">
        <v>1720</v>
      </c>
    </row>
    <row r="134" ht="33.75" customHeight="1">
      <c r="A134" s="16" t="s">
        <v>1753</v>
      </c>
      <c r="B134" s="16" t="str">
        <f>IMAGE("https://lmztiles.s3.eu-west-1.amazonaws.com/Modern_Interiors_v41.3.4/1_Interiors/16x16/Theme_Sorter_Singles/8_Gym_Singles/Gym_Singles_134.png")</f>
        <v/>
      </c>
      <c r="C134" s="8" t="s">
        <v>1720</v>
      </c>
    </row>
    <row r="135" ht="33.75" customHeight="1">
      <c r="A135" s="16" t="s">
        <v>1754</v>
      </c>
      <c r="B135" s="16" t="str">
        <f>IMAGE("https://lmztiles.s3.eu-west-1.amazonaws.com/Modern_Interiors_v41.3.4/1_Interiors/16x16/Theme_Sorter_Singles/8_Gym_Singles/Gym_Singles_135.png")</f>
        <v/>
      </c>
      <c r="C135" s="8" t="s">
        <v>1720</v>
      </c>
    </row>
    <row r="136" ht="33.75" customHeight="1">
      <c r="A136" s="16" t="s">
        <v>1755</v>
      </c>
      <c r="B136" s="16" t="str">
        <f>IMAGE("https://lmztiles.s3.eu-west-1.amazonaws.com/Modern_Interiors_v41.3.4/1_Interiors/16x16/Theme_Sorter_Singles/8_Gym_Singles/Gym_Singles_136.png")</f>
        <v/>
      </c>
      <c r="C136" s="8" t="s">
        <v>1720</v>
      </c>
    </row>
    <row r="137" ht="33.75" customHeight="1">
      <c r="A137" s="16" t="s">
        <v>1756</v>
      </c>
      <c r="B137" s="16" t="str">
        <f>IMAGE("https://lmztiles.s3.eu-west-1.amazonaws.com/Modern_Interiors_v41.3.4/1_Interiors/16x16/Theme_Sorter_Singles/8_Gym_Singles/Gym_Singles_137.png")</f>
        <v/>
      </c>
      <c r="C137" s="8" t="s">
        <v>1720</v>
      </c>
    </row>
    <row r="138" ht="33.75" customHeight="1">
      <c r="A138" s="16" t="s">
        <v>1757</v>
      </c>
      <c r="B138" s="16" t="str">
        <f>IMAGE("https://lmztiles.s3.eu-west-1.amazonaws.com/Modern_Interiors_v41.3.4/1_Interiors/16x16/Theme_Sorter_Singles/8_Gym_Singles/Gym_Singles_138.png")</f>
        <v/>
      </c>
      <c r="C138" s="8" t="s">
        <v>1720</v>
      </c>
    </row>
    <row r="139" ht="33.75" customHeight="1">
      <c r="A139" s="16" t="s">
        <v>1758</v>
      </c>
      <c r="B139" s="16" t="str">
        <f>IMAGE("https://lmztiles.s3.eu-west-1.amazonaws.com/Modern_Interiors_v41.3.4/1_Interiors/16x16/Theme_Sorter_Singles/8_Gym_Singles/Gym_Singles_139.png")</f>
        <v/>
      </c>
      <c r="C139" s="8" t="s">
        <v>1720</v>
      </c>
    </row>
    <row r="140" ht="33.75" customHeight="1">
      <c r="A140" s="16" t="s">
        <v>1759</v>
      </c>
      <c r="B140" s="16" t="str">
        <f>IMAGE("https://lmztiles.s3.eu-west-1.amazonaws.com/Modern_Interiors_v41.3.4/1_Interiors/16x16/Theme_Sorter_Singles/8_Gym_Singles/Gym_Singles_140.png")</f>
        <v/>
      </c>
      <c r="C140" s="8" t="s">
        <v>1720</v>
      </c>
    </row>
    <row r="141" ht="33.75" customHeight="1">
      <c r="A141" s="16" t="s">
        <v>1760</v>
      </c>
      <c r="B141" s="16" t="str">
        <f>IMAGE("https://lmztiles.s3.eu-west-1.amazonaws.com/Modern_Interiors_v41.3.4/1_Interiors/16x16/Theme_Sorter_Singles/8_Gym_Singles/Gym_Singles_141.png")</f>
        <v/>
      </c>
      <c r="C141" s="8" t="s">
        <v>1720</v>
      </c>
    </row>
    <row r="142" ht="33.75" customHeight="1">
      <c r="A142" s="16" t="s">
        <v>1761</v>
      </c>
      <c r="B142" s="16" t="str">
        <f>IMAGE("https://lmztiles.s3.eu-west-1.amazonaws.com/Modern_Interiors_v41.3.4/1_Interiors/16x16/Theme_Sorter_Singles/8_Gym_Singles/Gym_Singles_142.png")</f>
        <v/>
      </c>
      <c r="C142" s="8" t="s">
        <v>1720</v>
      </c>
    </row>
    <row r="143" ht="33.75" customHeight="1">
      <c r="A143" s="16" t="s">
        <v>1762</v>
      </c>
      <c r="B143" s="16" t="str">
        <f>IMAGE("https://lmztiles.s3.eu-west-1.amazonaws.com/Modern_Interiors_v41.3.4/1_Interiors/16x16/Theme_Sorter_Singles/8_Gym_Singles/Gym_Singles_143.png")</f>
        <v/>
      </c>
      <c r="C143" s="8" t="s">
        <v>1720</v>
      </c>
    </row>
    <row r="144" ht="33.75" customHeight="1">
      <c r="A144" s="16" t="s">
        <v>1763</v>
      </c>
      <c r="B144" s="16" t="str">
        <f>IMAGE("https://lmztiles.s3.eu-west-1.amazonaws.com/Modern_Interiors_v41.3.4/1_Interiors/16x16/Theme_Sorter_Singles/8_Gym_Singles/Gym_Singles_144.png")</f>
        <v/>
      </c>
      <c r="C144" s="8" t="s">
        <v>1720</v>
      </c>
    </row>
    <row r="145" ht="33.75" customHeight="1">
      <c r="A145" s="16" t="s">
        <v>1764</v>
      </c>
      <c r="B145" s="16" t="str">
        <f>IMAGE("https://lmztiles.s3.eu-west-1.amazonaws.com/Modern_Interiors_v41.3.4/1_Interiors/16x16/Theme_Sorter_Singles/8_Gym_Singles/Gym_Singles_145.png")</f>
        <v/>
      </c>
      <c r="C145" s="8" t="s">
        <v>1720</v>
      </c>
    </row>
    <row r="146" ht="33.75" customHeight="1">
      <c r="A146" s="16" t="s">
        <v>1765</v>
      </c>
      <c r="B146" s="16" t="str">
        <f>IMAGE("https://lmztiles.s3.eu-west-1.amazonaws.com/Modern_Interiors_v41.3.4/1_Interiors/16x16/Theme_Sorter_Singles/8_Gym_Singles/Gym_Singles_146.png")</f>
        <v/>
      </c>
      <c r="C146" s="8" t="s">
        <v>1720</v>
      </c>
    </row>
    <row r="147" ht="33.75" customHeight="1">
      <c r="A147" s="16" t="s">
        <v>1766</v>
      </c>
      <c r="B147" s="16" t="str">
        <f>IMAGE("https://lmztiles.s3.eu-west-1.amazonaws.com/Modern_Interiors_v41.3.4/1_Interiors/16x16/Theme_Sorter_Singles/8_Gym_Singles/Gym_Singles_147.png")</f>
        <v/>
      </c>
      <c r="C147" s="8" t="s">
        <v>1720</v>
      </c>
    </row>
    <row r="148" ht="33.75" customHeight="1">
      <c r="A148" s="16" t="s">
        <v>1767</v>
      </c>
      <c r="B148" s="16" t="str">
        <f>IMAGE("https://lmztiles.s3.eu-west-1.amazonaws.com/Modern_Interiors_v41.3.4/1_Interiors/16x16/Theme_Sorter_Singles/8_Gym_Singles/Gym_Singles_148.png")</f>
        <v/>
      </c>
      <c r="C148" s="8" t="s">
        <v>1720</v>
      </c>
    </row>
    <row r="149" ht="33.75" customHeight="1">
      <c r="A149" s="16" t="s">
        <v>1768</v>
      </c>
      <c r="B149" s="16" t="str">
        <f>IMAGE("https://lmztiles.s3.eu-west-1.amazonaws.com/Modern_Interiors_v41.3.4/1_Interiors/16x16/Theme_Sorter_Singles/8_Gym_Singles/Gym_Singles_149.png")</f>
        <v/>
      </c>
      <c r="C149" s="8" t="s">
        <v>1720</v>
      </c>
    </row>
    <row r="150" ht="33.75" customHeight="1">
      <c r="A150" s="16" t="s">
        <v>1769</v>
      </c>
      <c r="B150" s="16" t="str">
        <f>IMAGE("https://lmztiles.s3.eu-west-1.amazonaws.com/Modern_Interiors_v41.3.4/1_Interiors/16x16/Theme_Sorter_Singles/8_Gym_Singles/Gym_Singles_150.png")</f>
        <v/>
      </c>
      <c r="C150" s="8" t="s">
        <v>1720</v>
      </c>
    </row>
    <row r="151" ht="33.75" customHeight="1">
      <c r="A151" s="16" t="s">
        <v>1770</v>
      </c>
      <c r="B151" s="16" t="str">
        <f>IMAGE("https://lmztiles.s3.eu-west-1.amazonaws.com/Modern_Interiors_v41.3.4/1_Interiors/16x16/Theme_Sorter_Singles/8_Gym_Singles/Gym_Singles_151.png")</f>
        <v/>
      </c>
      <c r="C151" s="8" t="s">
        <v>1720</v>
      </c>
    </row>
    <row r="152" ht="33.75" customHeight="1">
      <c r="A152" s="16" t="s">
        <v>1771</v>
      </c>
      <c r="B152" s="16" t="str">
        <f>IMAGE("https://lmztiles.s3.eu-west-1.amazonaws.com/Modern_Interiors_v41.3.4/1_Interiors/16x16/Theme_Sorter_Singles/8_Gym_Singles/Gym_Singles_155.png")</f>
        <v/>
      </c>
      <c r="C152" s="8" t="s">
        <v>1717</v>
      </c>
    </row>
    <row r="153" ht="33.75" customHeight="1">
      <c r="A153" s="16" t="s">
        <v>1772</v>
      </c>
      <c r="B153" s="16" t="str">
        <f>IMAGE("https://lmztiles.s3.eu-west-1.amazonaws.com/Modern_Interiors_v41.3.4/1_Interiors/16x16/Theme_Sorter_Singles/8_Gym_Singles/Gym_Singles_156.png")</f>
        <v/>
      </c>
      <c r="C153" s="8" t="s">
        <v>1717</v>
      </c>
    </row>
    <row r="154" ht="33.75" customHeight="1">
      <c r="A154" s="16" t="s">
        <v>1773</v>
      </c>
      <c r="B154" s="16" t="str">
        <f>IMAGE("https://lmztiles.s3.eu-west-1.amazonaws.com/Modern_Interiors_v41.3.4/1_Interiors/16x16/Theme_Sorter_Singles/8_Gym_Singles/Gym_Singles_157.png")</f>
        <v/>
      </c>
      <c r="C154" s="8" t="s">
        <v>1717</v>
      </c>
    </row>
    <row r="155" ht="33.75" customHeight="1">
      <c r="A155" s="16" t="s">
        <v>1774</v>
      </c>
      <c r="B155" s="16" t="str">
        <f>IMAGE("https://lmztiles.s3.eu-west-1.amazonaws.com/Modern_Interiors_v41.3.4/1_Interiors/16x16/Theme_Sorter_Singles/8_Gym_Singles/Gym_Singles_158.png")</f>
        <v/>
      </c>
      <c r="C155" s="8" t="s">
        <v>1717</v>
      </c>
    </row>
    <row r="156" ht="33.75" customHeight="1">
      <c r="A156" s="16" t="s">
        <v>1775</v>
      </c>
      <c r="B156" s="16" t="str">
        <f>IMAGE("https://lmztiles.s3.eu-west-1.amazonaws.com/Modern_Interiors_v41.3.4/1_Interiors/16x16/Theme_Sorter_Singles/8_Gym_Singles/Gym_Singles_159.png")</f>
        <v/>
      </c>
      <c r="C156" s="8" t="s">
        <v>1717</v>
      </c>
    </row>
    <row r="157" ht="33.75" customHeight="1">
      <c r="A157" s="16" t="s">
        <v>1776</v>
      </c>
      <c r="B157" s="16" t="str">
        <f>IMAGE("https://lmztiles.s3.eu-west-1.amazonaws.com/Modern_Interiors_v41.3.4/1_Interiors/16x16/Theme_Sorter_Singles/8_Gym_Singles/Gym_Singles_160.png")</f>
        <v/>
      </c>
      <c r="C157" s="8" t="s">
        <v>1717</v>
      </c>
    </row>
    <row r="158" ht="33.75" customHeight="1">
      <c r="A158" s="16" t="s">
        <v>1777</v>
      </c>
      <c r="B158" s="16" t="str">
        <f>IMAGE("https://lmztiles.s3.eu-west-1.amazonaws.com/Modern_Interiors_v41.3.4/1_Interiors/16x16/Theme_Sorter_Singles/8_Gym_Singles/Gym_Singles_161.png")</f>
        <v/>
      </c>
      <c r="C158" s="8" t="s">
        <v>1717</v>
      </c>
    </row>
    <row r="159" ht="33.75" customHeight="1">
      <c r="A159" s="16" t="s">
        <v>1778</v>
      </c>
      <c r="B159" s="16" t="str">
        <f>IMAGE("https://lmztiles.s3.eu-west-1.amazonaws.com/Modern_Interiors_v41.3.4/1_Interiors/16x16/Theme_Sorter_Singles/8_Gym_Singles/Gym_Singles_162.png")</f>
        <v/>
      </c>
      <c r="C159" s="8" t="s">
        <v>1717</v>
      </c>
    </row>
    <row r="160" ht="33.75" customHeight="1">
      <c r="A160" s="16" t="s">
        <v>1779</v>
      </c>
      <c r="B160" s="16" t="str">
        <f>IMAGE("https://lmztiles.s3.eu-west-1.amazonaws.com/Modern_Interiors_v41.3.4/1_Interiors/16x16/Theme_Sorter_Singles/8_Gym_Singles/Gym_Singles_163.png")</f>
        <v/>
      </c>
      <c r="C160" s="8" t="s">
        <v>1780</v>
      </c>
    </row>
    <row r="161" ht="33.75" customHeight="1">
      <c r="A161" s="16" t="s">
        <v>1781</v>
      </c>
      <c r="B161" s="16" t="str">
        <f>IMAGE("https://lmztiles.s3.eu-west-1.amazonaws.com/Modern_Interiors_v41.3.4/1_Interiors/16x16/Theme_Sorter_Singles/8_Gym_Singles/Gym_Singles_164.png")</f>
        <v/>
      </c>
      <c r="C161" s="8" t="s">
        <v>1782</v>
      </c>
    </row>
    <row r="162" ht="33.75" customHeight="1">
      <c r="A162" s="16" t="s">
        <v>1783</v>
      </c>
      <c r="B162" s="16" t="str">
        <f>IMAGE("https://lmztiles.s3.eu-west-1.amazonaws.com/Modern_Interiors_v41.3.4/1_Interiors/16x16/Theme_Sorter_Singles/8_Gym_Singles/Gym_Singles_165.png")</f>
        <v/>
      </c>
      <c r="C162" s="8" t="s">
        <v>1782</v>
      </c>
    </row>
    <row r="163" ht="33.75" customHeight="1">
      <c r="A163" s="16" t="s">
        <v>1784</v>
      </c>
      <c r="B163" s="16" t="str">
        <f>IMAGE("https://lmztiles.s3.eu-west-1.amazonaws.com/Modern_Interiors_v41.3.4/1_Interiors/16x16/Theme_Sorter_Singles/8_Gym_Singles/Gym_Singles_166.png")</f>
        <v/>
      </c>
      <c r="C163" s="8" t="s">
        <v>1785</v>
      </c>
    </row>
    <row r="164" ht="33.75" customHeight="1">
      <c r="A164" s="16" t="s">
        <v>1786</v>
      </c>
      <c r="B164" s="16" t="str">
        <f>IMAGE("https://lmztiles.s3.eu-west-1.amazonaws.com/Modern_Interiors_v41.3.4/1_Interiors/16x16/Theme_Sorter_Singles/8_Gym_Singles/Gym_Singles_167.png")</f>
        <v/>
      </c>
      <c r="C164" s="8" t="s">
        <v>1787</v>
      </c>
    </row>
    <row r="165" ht="33.75" customHeight="1">
      <c r="A165" s="16" t="s">
        <v>1788</v>
      </c>
      <c r="B165" s="16" t="str">
        <f>IMAGE("https://lmztiles.s3.eu-west-1.amazonaws.com/Modern_Interiors_v41.3.4/1_Interiors/16x16/Theme_Sorter_Singles/8_Gym_Singles/Gym_Singles_168.png")</f>
        <v/>
      </c>
      <c r="C165" s="8" t="s">
        <v>1785</v>
      </c>
    </row>
    <row r="166" ht="33.75" customHeight="1">
      <c r="A166" s="16" t="s">
        <v>1789</v>
      </c>
      <c r="B166" s="16" t="str">
        <f>IMAGE("https://lmztiles.s3.eu-west-1.amazonaws.com/Modern_Interiors_v41.3.4/1_Interiors/16x16/Theme_Sorter_Singles/8_Gym_Singles/Gym_Singles_169.png")</f>
        <v/>
      </c>
      <c r="C166" s="8" t="s">
        <v>1787</v>
      </c>
    </row>
    <row r="167" ht="33.75" customHeight="1">
      <c r="A167" s="16" t="s">
        <v>1790</v>
      </c>
      <c r="B167" s="16" t="str">
        <f>IMAGE("https://lmztiles.s3.eu-west-1.amazonaws.com/Modern_Interiors_v41.3.4/1_Interiors/16x16/Theme_Sorter_Singles/8_Gym_Singles/Gym_Singles_170.png")</f>
        <v/>
      </c>
      <c r="C167" s="8" t="s">
        <v>1787</v>
      </c>
    </row>
    <row r="168" ht="33.75" customHeight="1">
      <c r="A168" s="16" t="s">
        <v>1791</v>
      </c>
      <c r="B168" s="16" t="str">
        <f>IMAGE("https://lmztiles.s3.eu-west-1.amazonaws.com/Modern_Interiors_v41.3.4/1_Interiors/16x16/Theme_Sorter_Singles/8_Gym_Singles/Gym_Singles_171.png")</f>
        <v/>
      </c>
      <c r="C168" s="8" t="s">
        <v>1785</v>
      </c>
    </row>
    <row r="169" ht="33.75" customHeight="1">
      <c r="A169" s="16" t="s">
        <v>1792</v>
      </c>
      <c r="B169" s="16" t="str">
        <f>IMAGE("https://lmztiles.s3.eu-west-1.amazonaws.com/Modern_Interiors_v41.3.4/1_Interiors/16x16/Theme_Sorter_Singles/8_Gym_Singles/Gym_Singles_172.png")</f>
        <v/>
      </c>
      <c r="C169" s="8" t="s">
        <v>1787</v>
      </c>
    </row>
    <row r="170" ht="33.75" customHeight="1">
      <c r="A170" s="16" t="s">
        <v>1793</v>
      </c>
      <c r="B170" s="16" t="str">
        <f>IMAGE("https://lmztiles.s3.eu-west-1.amazonaws.com/Modern_Interiors_v41.3.4/1_Interiors/16x16/Theme_Sorter_Singles/8_Gym_Singles/Gym_Singles_173.png")</f>
        <v/>
      </c>
      <c r="C170" s="8" t="s">
        <v>1787</v>
      </c>
    </row>
    <row r="171" ht="33.75" customHeight="1">
      <c r="A171" s="16" t="s">
        <v>1794</v>
      </c>
      <c r="B171" s="16" t="str">
        <f>IMAGE("https://lmztiles.s3.eu-west-1.amazonaws.com/Modern_Interiors_v41.3.4/1_Interiors/16x16/Theme_Sorter_Singles/8_Gym_Singles/Gym_Singles_174.png")</f>
        <v/>
      </c>
      <c r="C171" s="8" t="s">
        <v>1787</v>
      </c>
    </row>
    <row r="172" ht="33.75" customHeight="1">
      <c r="A172" s="16" t="s">
        <v>1795</v>
      </c>
      <c r="B172" s="16" t="str">
        <f>IMAGE("https://lmztiles.s3.eu-west-1.amazonaws.com/Modern_Interiors_v41.3.4/1_Interiors/16x16/Theme_Sorter_Singles/8_Gym_Singles/Gym_Singles_175.png")</f>
        <v/>
      </c>
      <c r="C172" s="8" t="s">
        <v>1796</v>
      </c>
    </row>
    <row r="173" ht="33.75" customHeight="1">
      <c r="A173" s="16" t="s">
        <v>1797</v>
      </c>
      <c r="B173" s="16" t="str">
        <f>IMAGE("https://lmztiles.s3.eu-west-1.amazonaws.com/Modern_Interiors_v41.3.4/1_Interiors/16x16/Theme_Sorter_Singles/8_Gym_Singles/Gym_Singles_176.png")</f>
        <v/>
      </c>
      <c r="C173" s="8" t="s">
        <v>1796</v>
      </c>
    </row>
    <row r="174" ht="33.75" customHeight="1">
      <c r="A174" s="16" t="s">
        <v>1798</v>
      </c>
      <c r="B174" s="16" t="str">
        <f>IMAGE("https://lmztiles.s3.eu-west-1.amazonaws.com/Modern_Interiors_v41.3.4/1_Interiors/16x16/Theme_Sorter_Singles/8_Gym_Singles/Gym_Singles_177.png")</f>
        <v/>
      </c>
      <c r="C174" s="8" t="s">
        <v>1796</v>
      </c>
    </row>
    <row r="175" ht="33.75" customHeight="1">
      <c r="A175" s="16" t="s">
        <v>1799</v>
      </c>
      <c r="B175" s="16" t="str">
        <f>IMAGE("https://lmztiles.s3.eu-west-1.amazonaws.com/Modern_Interiors_v41.3.4/1_Interiors/16x16/Theme_Sorter_Singles/8_Gym_Singles/Gym_Singles_178.png")</f>
        <v/>
      </c>
      <c r="C175" s="8" t="s">
        <v>1796</v>
      </c>
    </row>
    <row r="176" ht="33.75" customHeight="1">
      <c r="A176" s="16" t="s">
        <v>1800</v>
      </c>
      <c r="B176" s="16" t="str">
        <f>IMAGE("https://lmztiles.s3.eu-west-1.amazonaws.com/Modern_Interiors_v41.3.4/1_Interiors/16x16/Theme_Sorter_Singles/8_Gym_Singles/Gym_Singles_179.png")</f>
        <v/>
      </c>
      <c r="C176" s="8" t="s">
        <v>1796</v>
      </c>
    </row>
    <row r="177" ht="33.75" customHeight="1">
      <c r="A177" s="16" t="s">
        <v>1801</v>
      </c>
      <c r="B177" s="16" t="str">
        <f>IMAGE("https://lmztiles.s3.eu-west-1.amazonaws.com/Modern_Interiors_v41.3.4/1_Interiors/16x16/Theme_Sorter_Singles/8_Gym_Singles/Gym_Singles_180.png")</f>
        <v/>
      </c>
      <c r="C177" s="8" t="s">
        <v>1796</v>
      </c>
    </row>
    <row r="178" ht="33.75" customHeight="1">
      <c r="A178" s="16" t="s">
        <v>1802</v>
      </c>
      <c r="B178" s="16" t="str">
        <f>IMAGE("https://lmztiles.s3.eu-west-1.amazonaws.com/Modern_Interiors_v41.3.4/1_Interiors/16x16/Theme_Sorter_Singles/8_Gym_Singles/Gym_Singles_181.png")</f>
        <v/>
      </c>
      <c r="C178" s="8" t="s">
        <v>1796</v>
      </c>
    </row>
    <row r="179" ht="33.75" customHeight="1">
      <c r="A179" s="16" t="s">
        <v>1803</v>
      </c>
      <c r="B179" s="16" t="str">
        <f>IMAGE("https://lmztiles.s3.eu-west-1.amazonaws.com/Modern_Interiors_v41.3.4/1_Interiors/16x16/Theme_Sorter_Singles/8_Gym_Singles/Gym_Singles_182.png")</f>
        <v/>
      </c>
      <c r="C179" s="8" t="s">
        <v>1796</v>
      </c>
    </row>
    <row r="180" ht="33.75" customHeight="1">
      <c r="A180" s="16" t="s">
        <v>1804</v>
      </c>
      <c r="B180" s="16" t="str">
        <f>IMAGE("https://lmztiles.s3.eu-west-1.amazonaws.com/Modern_Interiors_v41.3.4/1_Interiors/16x16/Theme_Sorter_Singles/8_Gym_Singles/Gym_Singles_183.png")</f>
        <v/>
      </c>
      <c r="C180" s="8" t="s">
        <v>1796</v>
      </c>
    </row>
    <row r="181" ht="33.75" customHeight="1">
      <c r="A181" s="16" t="s">
        <v>1805</v>
      </c>
      <c r="B181" s="16" t="str">
        <f>IMAGE("https://lmztiles.s3.eu-west-1.amazonaws.com/Modern_Interiors_v41.3.4/1_Interiors/16x16/Theme_Sorter_Singles/8_Gym_Singles/Gym_Singles_184.png")</f>
        <v/>
      </c>
      <c r="C181" s="8" t="s">
        <v>1806</v>
      </c>
    </row>
    <row r="182" ht="33.75" customHeight="1">
      <c r="A182" s="16" t="s">
        <v>1807</v>
      </c>
      <c r="B182" s="16" t="str">
        <f>IMAGE("https://lmztiles.s3.eu-west-1.amazonaws.com/Modern_Interiors_v41.3.4/1_Interiors/16x16/Theme_Sorter_Singles/8_Gym_Singles/Gym_Singles_185.png")</f>
        <v/>
      </c>
      <c r="C182" s="8" t="s">
        <v>1806</v>
      </c>
    </row>
    <row r="183" ht="33.75" customHeight="1">
      <c r="A183" s="16" t="s">
        <v>1808</v>
      </c>
      <c r="B183" s="16" t="str">
        <f>IMAGE("https://lmztiles.s3.eu-west-1.amazonaws.com/Modern_Interiors_v41.3.4/1_Interiors/16x16/Theme_Sorter_Singles/8_Gym_Singles/Gym_Singles_186.png")</f>
        <v/>
      </c>
      <c r="C183" s="8" t="s">
        <v>1700</v>
      </c>
    </row>
    <row r="184" ht="33.75" customHeight="1">
      <c r="A184" s="16" t="s">
        <v>1809</v>
      </c>
      <c r="B184" s="16" t="str">
        <f>IMAGE("https://lmztiles.s3.eu-west-1.amazonaws.com/Modern_Interiors_v41.3.4/1_Interiors/16x16/Theme_Sorter_Singles/8_Gym_Singles/Gym_Singles_187.png")</f>
        <v/>
      </c>
      <c r="C184" s="8" t="s">
        <v>1700</v>
      </c>
    </row>
    <row r="185" ht="33.75" customHeight="1">
      <c r="A185" s="16" t="s">
        <v>1810</v>
      </c>
      <c r="B185" s="16" t="str">
        <f>IMAGE("https://lmztiles.s3.eu-west-1.amazonaws.com/Modern_Interiors_v41.3.4/1_Interiors/16x16/Theme_Sorter_Singles/8_Gym_Singles/Gym_Singles_188.png")</f>
        <v/>
      </c>
      <c r="C185" s="8" t="s">
        <v>1698</v>
      </c>
    </row>
    <row r="186" ht="33.75" customHeight="1">
      <c r="A186" s="16" t="s">
        <v>1811</v>
      </c>
      <c r="B186" s="16" t="str">
        <f>IMAGE("https://lmztiles.s3.eu-west-1.amazonaws.com/Modern_Interiors_v41.3.4/1_Interiors/16x16/Theme_Sorter_Singles/8_Gym_Singles/Gym_Singles_189.png")</f>
        <v/>
      </c>
      <c r="C186" s="8" t="s">
        <v>1698</v>
      </c>
    </row>
    <row r="187" ht="33.75" customHeight="1">
      <c r="A187" s="16" t="s">
        <v>1812</v>
      </c>
      <c r="B187" s="16" t="str">
        <f>IMAGE("https://lmztiles.s3.eu-west-1.amazonaws.com/Modern_Interiors_v41.3.4/1_Interiors/16x16/Theme_Sorter_Singles/8_Gym_Singles/Gym_Singles_190.png")</f>
        <v/>
      </c>
      <c r="C187" s="8" t="s">
        <v>1702</v>
      </c>
    </row>
    <row r="188" ht="33.75" customHeight="1">
      <c r="A188" s="16" t="s">
        <v>1813</v>
      </c>
      <c r="B188" s="16" t="str">
        <f>IMAGE("https://lmztiles.s3.eu-west-1.amazonaws.com/Modern_Interiors_v41.3.4/1_Interiors/16x16/Theme_Sorter_Singles/8_Gym_Singles/Gym_Singles_191.png")</f>
        <v/>
      </c>
      <c r="C188" s="8" t="s">
        <v>1702</v>
      </c>
    </row>
    <row r="189" ht="33.75" customHeight="1">
      <c r="A189" s="16" t="s">
        <v>1814</v>
      </c>
      <c r="B189" s="16" t="str">
        <f>IMAGE("https://lmztiles.s3.eu-west-1.amazonaws.com/Modern_Interiors_v41.3.4/1_Interiors/16x16/Theme_Sorter_Singles/8_Gym_Singles/Gym_Singles_192.png")</f>
        <v/>
      </c>
      <c r="C189" s="8" t="s">
        <v>1702</v>
      </c>
    </row>
    <row r="190" ht="33.75" customHeight="1">
      <c r="A190" s="16" t="s">
        <v>1815</v>
      </c>
      <c r="B190" s="16" t="str">
        <f>IMAGE("https://lmztiles.s3.eu-west-1.amazonaws.com/Modern_Interiors_v41.3.4/1_Interiors/16x16/Theme_Sorter_Singles/8_Gym_Singles/Gym_Singles_193.png")</f>
        <v/>
      </c>
      <c r="C190" s="8" t="s">
        <v>1702</v>
      </c>
    </row>
    <row r="191" ht="33.75" customHeight="1">
      <c r="A191" s="16" t="s">
        <v>1816</v>
      </c>
      <c r="B191" s="16" t="str">
        <f>IMAGE("https://lmztiles.s3.eu-west-1.amazonaws.com/Modern_Interiors_v41.3.4/1_Interiors/16x16/Theme_Sorter_Singles/8_Gym_Singles/Gym_Singles_194.png")</f>
        <v/>
      </c>
      <c r="C191" s="8" t="s">
        <v>1702</v>
      </c>
    </row>
    <row r="192" ht="33.75" customHeight="1">
      <c r="A192" s="16" t="s">
        <v>1817</v>
      </c>
      <c r="B192" s="16" t="str">
        <f>IMAGE("https://lmztiles.s3.eu-west-1.amazonaws.com/Modern_Interiors_v41.3.4/1_Interiors/16x16/Theme_Sorter_Singles/8_Gym_Singles/Gym_Singles_195.png")</f>
        <v/>
      </c>
      <c r="C192" s="8" t="s">
        <v>1818</v>
      </c>
    </row>
    <row r="193" ht="33.75" customHeight="1">
      <c r="A193" s="16" t="s">
        <v>1819</v>
      </c>
      <c r="B193" s="16" t="str">
        <f>IMAGE("https://lmztiles.s3.eu-west-1.amazonaws.com/Modern_Interiors_v41.3.4/1_Interiors/16x16/Theme_Sorter_Singles/8_Gym_Singles/Gym_Singles_196.png")</f>
        <v/>
      </c>
      <c r="C193" s="8" t="s">
        <v>1729</v>
      </c>
    </row>
    <row r="194" ht="33.75" customHeight="1">
      <c r="A194" s="16" t="s">
        <v>1820</v>
      </c>
      <c r="B194" s="16" t="str">
        <f>IMAGE("https://lmztiles.s3.eu-west-1.amazonaws.com/Modern_Interiors_v41.3.4/1_Interiors/16x16/Theme_Sorter_Singles/8_Gym_Singles/Gym_Singles_197.png")</f>
        <v/>
      </c>
      <c r="C194" s="8" t="s">
        <v>1821</v>
      </c>
    </row>
    <row r="195" ht="33.75" customHeight="1">
      <c r="A195" s="16" t="s">
        <v>1822</v>
      </c>
      <c r="B195" s="16" t="str">
        <f>IMAGE("https://lmztiles.s3.eu-west-1.amazonaws.com/Modern_Interiors_v41.3.4/1_Interiors/16x16/Theme_Sorter_Singles/8_Gym_Singles/Gym_Singles_198.png")</f>
        <v/>
      </c>
      <c r="C195" s="8" t="s">
        <v>1818</v>
      </c>
    </row>
    <row r="196" ht="33.75" customHeight="1">
      <c r="A196" s="16" t="s">
        <v>1823</v>
      </c>
      <c r="B196" s="16" t="str">
        <f>IMAGE("https://lmztiles.s3.eu-west-1.amazonaws.com/Modern_Interiors_v41.3.4/1_Interiors/16x16/Theme_Sorter_Singles/8_Gym_Singles/Gym_Singles_199.png")</f>
        <v/>
      </c>
      <c r="C196" s="8" t="s">
        <v>1729</v>
      </c>
    </row>
    <row r="197" ht="33.75" customHeight="1">
      <c r="A197" s="16" t="s">
        <v>1824</v>
      </c>
      <c r="B197" s="16" t="str">
        <f>IMAGE("https://lmztiles.s3.eu-west-1.amazonaws.com/Modern_Interiors_v41.3.4/1_Interiors/16x16/Theme_Sorter_Singles/8_Gym_Singles/Gym_Singles_200.png")</f>
        <v/>
      </c>
      <c r="C197" s="8" t="s">
        <v>1821</v>
      </c>
    </row>
    <row r="198" ht="33.75" customHeight="1">
      <c r="A198" s="16" t="s">
        <v>1825</v>
      </c>
      <c r="B198" s="16" t="str">
        <f>IMAGE("https://lmztiles.s3.eu-west-1.amazonaws.com/Modern_Interiors_v41.3.4/1_Interiors/16x16/Theme_Sorter_Singles/8_Gym_Singles/Gym_Singles_201.png")</f>
        <v/>
      </c>
      <c r="C198" s="8" t="s">
        <v>1729</v>
      </c>
    </row>
    <row r="199" ht="33.75" customHeight="1">
      <c r="A199" s="16" t="s">
        <v>1826</v>
      </c>
      <c r="B199" s="16" t="str">
        <f>IMAGE("https://lmztiles.s3.eu-west-1.amazonaws.com/Modern_Interiors_v41.3.4/1_Interiors/16x16/Theme_Sorter_Singles/8_Gym_Singles/Gym_Singles_202.png")</f>
        <v/>
      </c>
      <c r="C199" s="8" t="s">
        <v>1729</v>
      </c>
    </row>
    <row r="200" ht="33.75" customHeight="1">
      <c r="A200" s="16" t="s">
        <v>1827</v>
      </c>
      <c r="B200" s="16" t="str">
        <f>IMAGE("https://lmztiles.s3.eu-west-1.amazonaws.com/Modern_Interiors_v41.3.4/1_Interiors/16x16/Theme_Sorter_Singles/8_Gym_Singles/Gym_Singles_203.png")</f>
        <v/>
      </c>
      <c r="C200" s="8" t="s">
        <v>1729</v>
      </c>
    </row>
    <row r="201" ht="33.75" customHeight="1">
      <c r="A201" s="16" t="s">
        <v>1828</v>
      </c>
      <c r="B201" s="16" t="str">
        <f>IMAGE("https://lmztiles.s3.eu-west-1.amazonaws.com/Modern_Interiors_v41.3.4/1_Interiors/16x16/Theme_Sorter_Singles/8_Gym_Singles/Gym_Singles_204.png")</f>
        <v/>
      </c>
      <c r="C201" s="8" t="s">
        <v>1729</v>
      </c>
    </row>
    <row r="202" ht="33.75" customHeight="1">
      <c r="A202" s="16" t="s">
        <v>1829</v>
      </c>
      <c r="B202" s="16" t="str">
        <f>IMAGE("https://lmztiles.s3.eu-west-1.amazonaws.com/Modern_Interiors_v41.3.4/1_Interiors/16x16/Theme_Sorter_Singles/8_Gym_Singles/Gym_Singles_205.png")</f>
        <v/>
      </c>
      <c r="C202" s="8" t="s">
        <v>1729</v>
      </c>
    </row>
    <row r="203" ht="33.75" customHeight="1">
      <c r="A203" s="16" t="s">
        <v>1830</v>
      </c>
      <c r="B203" s="16" t="str">
        <f>IMAGE("https://lmztiles.s3.eu-west-1.amazonaws.com/Modern_Interiors_v41.3.4/1_Interiors/16x16/Theme_Sorter_Singles/8_Gym_Singles/Gym_Singles_206.png")</f>
        <v/>
      </c>
      <c r="C203" s="8" t="s">
        <v>1729</v>
      </c>
    </row>
    <row r="204" ht="33.75" customHeight="1">
      <c r="A204" s="16" t="s">
        <v>1831</v>
      </c>
      <c r="B204" s="16" t="str">
        <f>IMAGE("https://lmztiles.s3.eu-west-1.amazonaws.com/Modern_Interiors_v41.3.4/1_Interiors/16x16/Theme_Sorter_Singles/8_Gym_Singles/Gym_Singles_207.png")</f>
        <v/>
      </c>
      <c r="C204" s="8" t="s">
        <v>1729</v>
      </c>
    </row>
    <row r="205" ht="33.75" customHeight="1">
      <c r="A205" s="16" t="s">
        <v>1832</v>
      </c>
      <c r="B205" s="16" t="str">
        <f>IMAGE("https://lmztiles.s3.eu-west-1.amazonaws.com/Modern_Interiors_v41.3.4/1_Interiors/16x16/Theme_Sorter_Singles/8_Gym_Singles/Gym_Singles_208.png")</f>
        <v/>
      </c>
      <c r="C205" s="8" t="s">
        <v>1729</v>
      </c>
    </row>
    <row r="206" ht="33.75" customHeight="1">
      <c r="A206" s="16" t="s">
        <v>1833</v>
      </c>
      <c r="B206" s="16" t="str">
        <f>IMAGE("https://lmztiles.s3.eu-west-1.amazonaws.com/Modern_Interiors_v41.3.4/1_Interiors/16x16/Theme_Sorter_Singles/8_Gym_Singles/Gym_Singles_209.png")</f>
        <v/>
      </c>
      <c r="C206" s="8" t="s">
        <v>1729</v>
      </c>
    </row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.71"/>
    <col customWidth="1" min="3" max="3" width="83.0"/>
  </cols>
  <sheetData>
    <row r="1" ht="37.5" customHeight="1">
      <c r="A1" s="16" t="s">
        <v>1834</v>
      </c>
      <c r="B1" s="16" t="str">
        <f>IMAGE("https://lmztiles.s3.eu-west-1.amazonaws.com/Modern_Interiors_v41.3.4/1_Interiors/16x16/Theme_Sorter_Singles/9_Fishing_Singles/Fishing_Singles_1.png")</f>
        <v/>
      </c>
    </row>
    <row r="2" ht="37.5" customHeight="1">
      <c r="A2" s="16" t="s">
        <v>1835</v>
      </c>
      <c r="B2" s="16" t="str">
        <f>IMAGE("https://lmztiles.s3.eu-west-1.amazonaws.com/Modern_Interiors_v41.3.4/1_Interiors/16x16/Theme_Sorter_Singles/9_Fishing_Singles/Fishing_Singles_2.png")</f>
        <v/>
      </c>
    </row>
    <row r="3" ht="37.5" customHeight="1">
      <c r="A3" s="16" t="s">
        <v>1836</v>
      </c>
      <c r="B3" s="16" t="str">
        <f>IMAGE("https://lmztiles.s3.eu-west-1.amazonaws.com/Modern_Interiors_v41.3.4/1_Interiors/16x16/Theme_Sorter_Singles/9_Fishing_Singles/Fishing_Singles_3.png")</f>
        <v/>
      </c>
    </row>
    <row r="4" ht="37.5" customHeight="1">
      <c r="A4" s="16" t="s">
        <v>1837</v>
      </c>
      <c r="B4" s="16" t="str">
        <f>IMAGE("https://lmztiles.s3.eu-west-1.amazonaws.com/Modern_Interiors_v41.3.4/1_Interiors/16x16/Theme_Sorter_Singles/9_Fishing_Singles/Fishing_Singles_4.png")</f>
        <v/>
      </c>
    </row>
    <row r="5" ht="37.5" customHeight="1">
      <c r="A5" s="16" t="s">
        <v>1838</v>
      </c>
      <c r="B5" s="16" t="str">
        <f>IMAGE("https://lmztiles.s3.eu-west-1.amazonaws.com/Modern_Interiors_v41.3.4/1_Interiors/16x16/Theme_Sorter_Singles/9_Fishing_Singles/Fishing_Singles_5.png")</f>
        <v/>
      </c>
    </row>
    <row r="6" ht="37.5" customHeight="1">
      <c r="A6" s="16" t="s">
        <v>1839</v>
      </c>
      <c r="B6" s="16" t="str">
        <f>IMAGE("https://lmztiles.s3.eu-west-1.amazonaws.com/Modern_Interiors_v41.3.4/1_Interiors/16x16/Theme_Sorter_Singles/9_Fishing_Singles/Fishing_Singles_6.png")</f>
        <v/>
      </c>
    </row>
    <row r="7" ht="37.5" customHeight="1">
      <c r="A7" s="16" t="s">
        <v>1840</v>
      </c>
      <c r="B7" s="16" t="str">
        <f>IMAGE("https://lmztiles.s3.eu-west-1.amazonaws.com/Modern_Interiors_v41.3.4/1_Interiors/16x16/Theme_Sorter_Singles/9_Fishing_Singles/Fishing_Singles_7.png")</f>
        <v/>
      </c>
    </row>
    <row r="8" ht="37.5" customHeight="1">
      <c r="A8" s="16" t="s">
        <v>1841</v>
      </c>
      <c r="B8" s="16" t="str">
        <f>IMAGE("https://lmztiles.s3.eu-west-1.amazonaws.com/Modern_Interiors_v41.3.4/1_Interiors/16x16/Theme_Sorter_Singles/9_Fishing_Singles/Fishing_Singles_8.png")</f>
        <v/>
      </c>
    </row>
    <row r="9" ht="37.5" customHeight="1">
      <c r="A9" s="16" t="s">
        <v>1842</v>
      </c>
      <c r="B9" s="16" t="str">
        <f>IMAGE("https://lmztiles.s3.eu-west-1.amazonaws.com/Modern_Interiors_v41.3.4/1_Interiors/16x16/Theme_Sorter_Singles/9_Fishing_Singles/Fishing_Singles_9.png")</f>
        <v/>
      </c>
    </row>
    <row r="10" ht="37.5" customHeight="1">
      <c r="A10" s="16" t="s">
        <v>1843</v>
      </c>
      <c r="B10" s="16" t="str">
        <f>IMAGE("https://lmztiles.s3.eu-west-1.amazonaws.com/Modern_Interiors_v41.3.4/1_Interiors/16x16/Theme_Sorter_Singles/9_Fishing_Singles/Fishing_Singles_10.png")</f>
        <v/>
      </c>
    </row>
    <row r="11" ht="37.5" customHeight="1">
      <c r="A11" s="16" t="s">
        <v>1844</v>
      </c>
      <c r="B11" s="16" t="str">
        <f>IMAGE("https://lmztiles.s3.eu-west-1.amazonaws.com/Modern_Interiors_v41.3.4/1_Interiors/16x16/Theme_Sorter_Singles/9_Fishing_Singles/Fishing_Singles_11.png")</f>
        <v/>
      </c>
    </row>
    <row r="12" ht="37.5" customHeight="1">
      <c r="A12" s="16" t="s">
        <v>1845</v>
      </c>
      <c r="B12" s="16" t="str">
        <f>IMAGE("https://lmztiles.s3.eu-west-1.amazonaws.com/Modern_Interiors_v41.3.4/1_Interiors/16x16/Theme_Sorter_Singles/9_Fishing_Singles/Fishing_Singles_12.png")</f>
        <v/>
      </c>
    </row>
    <row r="13" ht="37.5" customHeight="1">
      <c r="A13" s="16" t="s">
        <v>1846</v>
      </c>
      <c r="B13" s="16" t="str">
        <f>IMAGE("https://lmztiles.s3.eu-west-1.amazonaws.com/Modern_Interiors_v41.3.4/1_Interiors/16x16/Theme_Sorter_Singles/9_Fishing_Singles/Fishing_Singles_13.png")</f>
        <v/>
      </c>
    </row>
    <row r="14" ht="37.5" customHeight="1">
      <c r="A14" s="16" t="s">
        <v>1847</v>
      </c>
      <c r="B14" s="16" t="str">
        <f>IMAGE("https://lmztiles.s3.eu-west-1.amazonaws.com/Modern_Interiors_v41.3.4/1_Interiors/16x16/Theme_Sorter_Singles/9_Fishing_Singles/Fishing_Singles_14.png")</f>
        <v/>
      </c>
    </row>
    <row r="15" ht="37.5" customHeight="1">
      <c r="A15" s="16" t="s">
        <v>1848</v>
      </c>
      <c r="B15" s="16" t="str">
        <f>IMAGE("https://lmztiles.s3.eu-west-1.amazonaws.com/Modern_Interiors_v41.3.4/1_Interiors/16x16/Theme_Sorter_Singles/9_Fishing_Singles/Fishing_Singles_15.png")</f>
        <v/>
      </c>
    </row>
    <row r="16" ht="37.5" customHeight="1">
      <c r="A16" s="16" t="s">
        <v>1849</v>
      </c>
      <c r="B16" s="16" t="str">
        <f>IMAGE("https://lmztiles.s3.eu-west-1.amazonaws.com/Modern_Interiors_v41.3.4/1_Interiors/16x16/Theme_Sorter_Singles/9_Fishing_Singles/Fishing_Singles_16.png")</f>
        <v/>
      </c>
    </row>
    <row r="17" ht="37.5" customHeight="1">
      <c r="A17" s="16" t="s">
        <v>1850</v>
      </c>
      <c r="B17" s="16" t="str">
        <f>IMAGE("https://lmztiles.s3.eu-west-1.amazonaws.com/Modern_Interiors_v41.3.4/1_Interiors/16x16/Theme_Sorter_Singles/9_Fishing_Singles/Fishing_Singles_17.png")</f>
        <v/>
      </c>
    </row>
    <row r="18" ht="37.5" customHeight="1">
      <c r="A18" s="16" t="s">
        <v>1851</v>
      </c>
      <c r="B18" s="16" t="str">
        <f>IMAGE("https://lmztiles.s3.eu-west-1.amazonaws.com/Modern_Interiors_v41.3.4/1_Interiors/16x16/Theme_Sorter_Singles/9_Fishing_Singles/Fishing_Singles_18.png")</f>
        <v/>
      </c>
    </row>
    <row r="19" ht="37.5" customHeight="1">
      <c r="A19" s="16" t="s">
        <v>1852</v>
      </c>
      <c r="B19" s="16" t="str">
        <f>IMAGE("https://lmztiles.s3.eu-west-1.amazonaws.com/Modern_Interiors_v41.3.4/1_Interiors/16x16/Theme_Sorter_Singles/9_Fishing_Singles/Fishing_Singles_19.png")</f>
        <v/>
      </c>
    </row>
    <row r="20" ht="37.5" customHeight="1">
      <c r="A20" s="16" t="s">
        <v>1853</v>
      </c>
      <c r="B20" s="16" t="str">
        <f>IMAGE("https://lmztiles.s3.eu-west-1.amazonaws.com/Modern_Interiors_v41.3.4/1_Interiors/16x16/Theme_Sorter_Singles/9_Fishing_Singles/Fishing_Singles_20.png")</f>
        <v/>
      </c>
    </row>
    <row r="21" ht="37.5" customHeight="1">
      <c r="A21" s="16" t="s">
        <v>1854</v>
      </c>
      <c r="B21" s="16" t="str">
        <f>IMAGE("https://lmztiles.s3.eu-west-1.amazonaws.com/Modern_Interiors_v41.3.4/1_Interiors/16x16/Theme_Sorter_Singles/9_Fishing_Singles/Fishing_Singles_21.png")</f>
        <v/>
      </c>
    </row>
    <row r="22" ht="37.5" customHeight="1">
      <c r="A22" s="16" t="s">
        <v>1855</v>
      </c>
      <c r="B22" s="16" t="str">
        <f>IMAGE("https://lmztiles.s3.eu-west-1.amazonaws.com/Modern_Interiors_v41.3.4/1_Interiors/16x16/Theme_Sorter_Singles/9_Fishing_Singles/Fishing_Singles_22.png")</f>
        <v/>
      </c>
    </row>
    <row r="23" ht="37.5" customHeight="1">
      <c r="A23" s="16" t="s">
        <v>1856</v>
      </c>
      <c r="B23" s="16" t="str">
        <f>IMAGE("https://lmztiles.s3.eu-west-1.amazonaws.com/Modern_Interiors_v41.3.4/1_Interiors/16x16/Theme_Sorter_Singles/9_Fishing_Singles/Fishing_Singles_23.png")</f>
        <v/>
      </c>
    </row>
    <row r="24" ht="37.5" customHeight="1">
      <c r="A24" s="16" t="s">
        <v>1857</v>
      </c>
      <c r="B24" s="16" t="str">
        <f>IMAGE("https://lmztiles.s3.eu-west-1.amazonaws.com/Modern_Interiors_v41.3.4/1_Interiors/16x16/Theme_Sorter_Singles/9_Fishing_Singles/Fishing_Singles_24.png")</f>
        <v/>
      </c>
    </row>
    <row r="25" ht="37.5" customHeight="1">
      <c r="A25" s="16" t="s">
        <v>1858</v>
      </c>
      <c r="B25" s="16" t="str">
        <f>IMAGE("https://lmztiles.s3.eu-west-1.amazonaws.com/Modern_Interiors_v41.3.4/1_Interiors/16x16/Theme_Sorter_Singles/9_Fishing_Singles/Fishing_Singles_25.png")</f>
        <v/>
      </c>
    </row>
    <row r="26" ht="37.5" customHeight="1">
      <c r="A26" s="16" t="s">
        <v>1859</v>
      </c>
      <c r="B26" s="16" t="str">
        <f>IMAGE("https://lmztiles.s3.eu-west-1.amazonaws.com/Modern_Interiors_v41.3.4/1_Interiors/16x16/Theme_Sorter_Singles/9_Fishing_Singles/Fishing_Singles_26.png")</f>
        <v/>
      </c>
    </row>
    <row r="27" ht="37.5" customHeight="1">
      <c r="A27" s="16" t="s">
        <v>1860</v>
      </c>
      <c r="B27" s="16" t="str">
        <f>IMAGE("https://lmztiles.s3.eu-west-1.amazonaws.com/Modern_Interiors_v41.3.4/1_Interiors/16x16/Theme_Sorter_Singles/9_Fishing_Singles/Fishing_Singles_27.png")</f>
        <v/>
      </c>
    </row>
    <row r="28" ht="37.5" customHeight="1">
      <c r="A28" s="16" t="s">
        <v>1861</v>
      </c>
      <c r="B28" s="16" t="str">
        <f>IMAGE("https://lmztiles.s3.eu-west-1.amazonaws.com/Modern_Interiors_v41.3.4/1_Interiors/16x16/Theme_Sorter_Singles/9_Fishing_Singles/Fishing_Singles_28.png")</f>
        <v/>
      </c>
    </row>
    <row r="29" ht="37.5" customHeight="1">
      <c r="A29" s="16" t="s">
        <v>1862</v>
      </c>
      <c r="B29" s="16" t="str">
        <f>IMAGE("https://lmztiles.s3.eu-west-1.amazonaws.com/Modern_Interiors_v41.3.4/1_Interiors/16x16/Theme_Sorter_Singles/9_Fishing_Singles/Fishing_Singles_29.png")</f>
        <v/>
      </c>
    </row>
    <row r="30" ht="37.5" customHeight="1">
      <c r="A30" s="16" t="s">
        <v>1863</v>
      </c>
      <c r="B30" s="16" t="str">
        <f>IMAGE("https://lmztiles.s3.eu-west-1.amazonaws.com/Modern_Interiors_v41.3.4/1_Interiors/16x16/Theme_Sorter_Singles/9_Fishing_Singles/Fishing_Singles_30.png")</f>
        <v/>
      </c>
    </row>
    <row r="31" ht="37.5" customHeight="1">
      <c r="A31" s="16" t="s">
        <v>1864</v>
      </c>
      <c r="B31" s="16" t="str">
        <f>IMAGE("https://lmztiles.s3.eu-west-1.amazonaws.com/Modern_Interiors_v41.3.4/1_Interiors/16x16/Theme_Sorter_Singles/9_Fishing_Singles/Fishing_Singles_31.png")</f>
        <v/>
      </c>
    </row>
    <row r="32" ht="37.5" customHeight="1">
      <c r="A32" s="16" t="s">
        <v>1865</v>
      </c>
      <c r="B32" s="16" t="str">
        <f>IMAGE("https://lmztiles.s3.eu-west-1.amazonaws.com/Modern_Interiors_v41.3.4/1_Interiors/16x16/Theme_Sorter_Singles/9_Fishing_Singles/Fishing_Singles_32.png")</f>
        <v/>
      </c>
    </row>
    <row r="33" ht="37.5" customHeight="1">
      <c r="A33" s="16" t="s">
        <v>1866</v>
      </c>
      <c r="B33" s="16" t="str">
        <f>IMAGE("https://lmztiles.s3.eu-west-1.amazonaws.com/Modern_Interiors_v41.3.4/1_Interiors/16x16/Theme_Sorter_Singles/9_Fishing_Singles/Fishing_Singles_33.png")</f>
        <v/>
      </c>
    </row>
    <row r="34" ht="37.5" customHeight="1">
      <c r="A34" s="16" t="s">
        <v>1867</v>
      </c>
      <c r="B34" s="16" t="str">
        <f>IMAGE("https://lmztiles.s3.eu-west-1.amazonaws.com/Modern_Interiors_v41.3.4/1_Interiors/16x16/Theme_Sorter_Singles/9_Fishing_Singles/Fishing_Singles_34.png")</f>
        <v/>
      </c>
    </row>
    <row r="35" ht="37.5" customHeight="1">
      <c r="A35" s="16" t="s">
        <v>1868</v>
      </c>
      <c r="B35" s="16" t="str">
        <f>IMAGE("https://lmztiles.s3.eu-west-1.amazonaws.com/Modern_Interiors_v41.3.4/1_Interiors/16x16/Theme_Sorter_Singles/9_Fishing_Singles/Fishing_Singles_35.png")</f>
        <v/>
      </c>
    </row>
    <row r="36" ht="37.5" customHeight="1">
      <c r="A36" s="16" t="s">
        <v>1869</v>
      </c>
      <c r="B36" s="16" t="str">
        <f>IMAGE("https://lmztiles.s3.eu-west-1.amazonaws.com/Modern_Interiors_v41.3.4/1_Interiors/16x16/Theme_Sorter_Singles/9_Fishing_Singles/Fishing_Singles_36.png")</f>
        <v/>
      </c>
    </row>
    <row r="37" ht="37.5" customHeight="1">
      <c r="A37" s="16" t="s">
        <v>1870</v>
      </c>
      <c r="B37" s="16" t="str">
        <f>IMAGE("https://lmztiles.s3.eu-west-1.amazonaws.com/Modern_Interiors_v41.3.4/1_Interiors/16x16/Theme_Sorter_Singles/9_Fishing_Singles/Fishing_Singles_37.png")</f>
        <v/>
      </c>
    </row>
    <row r="38" ht="37.5" customHeight="1">
      <c r="A38" s="16" t="s">
        <v>1871</v>
      </c>
      <c r="B38" s="16" t="str">
        <f>IMAGE("https://lmztiles.s3.eu-west-1.amazonaws.com/Modern_Interiors_v41.3.4/1_Interiors/16x16/Theme_Sorter_Singles/9_Fishing_Singles/Fishing_Singles_38.png")</f>
        <v/>
      </c>
    </row>
    <row r="39" ht="37.5" customHeight="1">
      <c r="A39" s="16" t="s">
        <v>1872</v>
      </c>
      <c r="B39" s="16" t="str">
        <f>IMAGE("https://lmztiles.s3.eu-west-1.amazonaws.com/Modern_Interiors_v41.3.4/1_Interiors/16x16/Theme_Sorter_Singles/9_Fishing_Singles/Fishing_Singles_39.png")</f>
        <v/>
      </c>
    </row>
    <row r="40" ht="37.5" customHeight="1">
      <c r="A40" s="16" t="s">
        <v>1873</v>
      </c>
      <c r="B40" s="16" t="str">
        <f>IMAGE("https://lmztiles.s3.eu-west-1.amazonaws.com/Modern_Interiors_v41.3.4/1_Interiors/16x16/Theme_Sorter_Singles/9_Fishing_Singles/Fishing_Singles_40.png")</f>
        <v/>
      </c>
    </row>
    <row r="41" ht="37.5" customHeight="1">
      <c r="A41" s="16" t="s">
        <v>1874</v>
      </c>
      <c r="B41" s="16" t="str">
        <f>IMAGE("https://lmztiles.s3.eu-west-1.amazonaws.com/Modern_Interiors_v41.3.4/1_Interiors/16x16/Theme_Sorter_Singles/9_Fishing_Singles/Fishing_Singles_41.png")</f>
        <v/>
      </c>
    </row>
    <row r="42" ht="37.5" customHeight="1">
      <c r="A42" s="16" t="s">
        <v>1875</v>
      </c>
      <c r="B42" s="16" t="str">
        <f>IMAGE("https://lmztiles.s3.eu-west-1.amazonaws.com/Modern_Interiors_v41.3.4/1_Interiors/16x16/Theme_Sorter_Singles/9_Fishing_Singles/Fishing_Singles_42.png")</f>
        <v/>
      </c>
    </row>
    <row r="43" ht="37.5" customHeight="1">
      <c r="A43" s="16" t="s">
        <v>1876</v>
      </c>
      <c r="B43" s="16" t="str">
        <f>IMAGE("https://lmztiles.s3.eu-west-1.amazonaws.com/Modern_Interiors_v41.3.4/1_Interiors/16x16/Theme_Sorter_Singles/9_Fishing_Singles/Fishing_Singles_43.png")</f>
        <v/>
      </c>
    </row>
    <row r="44" ht="37.5" customHeight="1">
      <c r="A44" s="16" t="s">
        <v>1877</v>
      </c>
      <c r="B44" s="16" t="str">
        <f>IMAGE("https://lmztiles.s3.eu-west-1.amazonaws.com/Modern_Interiors_v41.3.4/1_Interiors/16x16/Theme_Sorter_Singles/9_Fishing_Singles/Fishing_Singles_44.png")</f>
        <v/>
      </c>
    </row>
    <row r="45" ht="37.5" customHeight="1">
      <c r="A45" s="16" t="s">
        <v>1878</v>
      </c>
      <c r="B45" s="16" t="str">
        <f>IMAGE("https://lmztiles.s3.eu-west-1.amazonaws.com/Modern_Interiors_v41.3.4/1_Interiors/16x16/Theme_Sorter_Singles/9_Fishing_Singles/Fishing_Singles_45.png")</f>
        <v/>
      </c>
    </row>
    <row r="46" ht="37.5" customHeight="1">
      <c r="A46" s="16" t="s">
        <v>1879</v>
      </c>
      <c r="B46" s="16" t="str">
        <f>IMAGE("https://lmztiles.s3.eu-west-1.amazonaws.com/Modern_Interiors_v41.3.4/1_Interiors/16x16/Theme_Sorter_Singles/9_Fishing_Singles/Fishing_Singles_46.png")</f>
        <v/>
      </c>
    </row>
    <row r="47" ht="37.5" customHeight="1">
      <c r="A47" s="16" t="s">
        <v>1880</v>
      </c>
      <c r="B47" s="16" t="str">
        <f>IMAGE("https://lmztiles.s3.eu-west-1.amazonaws.com/Modern_Interiors_v41.3.4/1_Interiors/16x16/Theme_Sorter_Singles/9_Fishing_Singles/Fishing_Singles_47.png")</f>
        <v/>
      </c>
    </row>
    <row r="48" ht="37.5" customHeight="1">
      <c r="A48" s="16" t="s">
        <v>1881</v>
      </c>
      <c r="B48" s="16" t="str">
        <f>IMAGE("https://lmztiles.s3.eu-west-1.amazonaws.com/Modern_Interiors_v41.3.4/1_Interiors/16x16/Theme_Sorter_Singles/9_Fishing_Singles/Fishing_Singles_48.png")</f>
        <v/>
      </c>
    </row>
    <row r="49" ht="37.5" customHeight="1">
      <c r="A49" s="16" t="s">
        <v>1882</v>
      </c>
      <c r="B49" s="16" t="str">
        <f>IMAGE("https://lmztiles.s3.eu-west-1.amazonaws.com/Modern_Interiors_v41.3.4/1_Interiors/16x16/Theme_Sorter_Singles/9_Fishing_Singles/Fishing_Singles_49.png")</f>
        <v/>
      </c>
    </row>
    <row r="50" ht="37.5" customHeight="1">
      <c r="A50" s="16" t="s">
        <v>1883</v>
      </c>
      <c r="B50" s="16" t="str">
        <f>IMAGE("https://lmztiles.s3.eu-west-1.amazonaws.com/Modern_Interiors_v41.3.4/1_Interiors/16x16/Theme_Sorter_Singles/9_Fishing_Singles/Fishing_Singles_50.png")</f>
        <v/>
      </c>
    </row>
    <row r="51" ht="37.5" customHeight="1">
      <c r="A51" s="16" t="s">
        <v>1884</v>
      </c>
      <c r="B51" s="16" t="str">
        <f>IMAGE("https://lmztiles.s3.eu-west-1.amazonaws.com/Modern_Interiors_v41.3.4/1_Interiors/16x16/Theme_Sorter_Singles/9_Fishing_Singles/Fishing_Singles_51.png")</f>
        <v/>
      </c>
    </row>
    <row r="52" ht="37.5" customHeight="1">
      <c r="A52" s="16" t="s">
        <v>1885</v>
      </c>
      <c r="B52" s="16" t="str">
        <f>IMAGE("https://lmztiles.s3.eu-west-1.amazonaws.com/Modern_Interiors_v41.3.4/1_Interiors/16x16/Theme_Sorter_Singles/9_Fishing_Singles/Fishing_Singles_52.png")</f>
        <v/>
      </c>
    </row>
    <row r="53" ht="37.5" customHeight="1">
      <c r="A53" s="16" t="s">
        <v>1886</v>
      </c>
      <c r="B53" s="16" t="str">
        <f>IMAGE("https://lmztiles.s3.eu-west-1.amazonaws.com/Modern_Interiors_v41.3.4/1_Interiors/16x16/Theme_Sorter_Singles/9_Fishing_Singles/Fishing_Singles_53.png")</f>
        <v/>
      </c>
    </row>
    <row r="54" ht="37.5" customHeight="1">
      <c r="A54" s="16" t="s">
        <v>1887</v>
      </c>
      <c r="B54" s="16" t="str">
        <f>IMAGE("https://lmztiles.s3.eu-west-1.amazonaws.com/Modern_Interiors_v41.3.4/1_Interiors/16x16/Theme_Sorter_Singles/9_Fishing_Singles/Fishing_Singles_54.png")</f>
        <v/>
      </c>
    </row>
    <row r="55" ht="37.5" customHeight="1">
      <c r="A55" s="16" t="s">
        <v>1888</v>
      </c>
      <c r="B55" s="16" t="str">
        <f>IMAGE("https://lmztiles.s3.eu-west-1.amazonaws.com/Modern_Interiors_v41.3.4/1_Interiors/16x16/Theme_Sorter_Singles/9_Fishing_Singles/Fishing_Singles_55.png")</f>
        <v/>
      </c>
    </row>
    <row r="56" ht="37.5" customHeight="1">
      <c r="A56" s="16" t="s">
        <v>1889</v>
      </c>
      <c r="B56" s="16" t="str">
        <f>IMAGE("https://lmztiles.s3.eu-west-1.amazonaws.com/Modern_Interiors_v41.3.4/1_Interiors/16x16/Theme_Sorter_Singles/9_Fishing_Singles/Fishing_Singles_56.png")</f>
        <v/>
      </c>
    </row>
    <row r="57" ht="37.5" customHeight="1">
      <c r="A57" s="16" t="s">
        <v>1890</v>
      </c>
      <c r="B57" s="16" t="str">
        <f>IMAGE("https://lmztiles.s3.eu-west-1.amazonaws.com/Modern_Interiors_v41.3.4/1_Interiors/16x16/Theme_Sorter_Singles/9_Fishing_Singles/Fishing_Singles_57.png")</f>
        <v/>
      </c>
    </row>
    <row r="58" ht="37.5" customHeight="1">
      <c r="A58" s="16" t="s">
        <v>1891</v>
      </c>
      <c r="B58" s="16" t="str">
        <f>IMAGE("https://lmztiles.s3.eu-west-1.amazonaws.com/Modern_Interiors_v41.3.4/1_Interiors/16x16/Theme_Sorter_Singles/9_Fishing_Singles/Fishing_Singles_58.png")</f>
        <v/>
      </c>
    </row>
    <row r="59" ht="37.5" customHeight="1">
      <c r="A59" s="16" t="s">
        <v>1892</v>
      </c>
      <c r="B59" s="16" t="str">
        <f>IMAGE("https://lmztiles.s3.eu-west-1.amazonaws.com/Modern_Interiors_v41.3.4/1_Interiors/16x16/Theme_Sorter_Singles/9_Fishing_Singles/Fishing_Singles_59.png")</f>
        <v/>
      </c>
    </row>
    <row r="60" ht="37.5" customHeight="1">
      <c r="A60" s="16" t="s">
        <v>1893</v>
      </c>
      <c r="B60" s="16" t="str">
        <f>IMAGE("https://lmztiles.s3.eu-west-1.amazonaws.com/Modern_Interiors_v41.3.4/1_Interiors/16x16/Theme_Sorter_Singles/9_Fishing_Singles/Fishing_Singles_60.png")</f>
        <v/>
      </c>
    </row>
    <row r="61" ht="37.5" customHeight="1">
      <c r="A61" s="16" t="s">
        <v>1894</v>
      </c>
      <c r="B61" s="16" t="str">
        <f>IMAGE("https://lmztiles.s3.eu-west-1.amazonaws.com/Modern_Interiors_v41.3.4/1_Interiors/16x16/Theme_Sorter_Singles/9_Fishing_Singles/Fishing_Singles_61.png")</f>
        <v/>
      </c>
    </row>
    <row r="62" ht="37.5" customHeight="1">
      <c r="A62" s="16" t="s">
        <v>1895</v>
      </c>
      <c r="B62" s="16" t="str">
        <f>IMAGE("https://lmztiles.s3.eu-west-1.amazonaws.com/Modern_Interiors_v41.3.4/1_Interiors/16x16/Theme_Sorter_Singles/9_Fishing_Singles/Fishing_Singles_62.png")</f>
        <v/>
      </c>
    </row>
    <row r="63" ht="37.5" customHeight="1">
      <c r="A63" s="16" t="s">
        <v>1896</v>
      </c>
      <c r="B63" s="16" t="str">
        <f>IMAGE("https://lmztiles.s3.eu-west-1.amazonaws.com/Modern_Interiors_v41.3.4/1_Interiors/16x16/Theme_Sorter_Singles/9_Fishing_Singles/Fishing_Singles_63.png")</f>
        <v/>
      </c>
    </row>
    <row r="64" ht="37.5" customHeight="1">
      <c r="A64" s="16" t="s">
        <v>1897</v>
      </c>
      <c r="B64" s="16" t="str">
        <f>IMAGE("https://lmztiles.s3.eu-west-1.amazonaws.com/Modern_Interiors_v41.3.4/1_Interiors/16x16/Theme_Sorter_Singles/9_Fishing_Singles/Fishing_Singles_64.png")</f>
        <v/>
      </c>
    </row>
    <row r="65" ht="37.5" customHeight="1">
      <c r="A65" s="16" t="s">
        <v>1898</v>
      </c>
      <c r="B65" s="16" t="str">
        <f>IMAGE("https://lmztiles.s3.eu-west-1.amazonaws.com/Modern_Interiors_v41.3.4/1_Interiors/16x16/Theme_Sorter_Singles/9_Fishing_Singles/Fishing_Singles_65.png")</f>
        <v/>
      </c>
    </row>
    <row r="66" ht="37.5" customHeight="1">
      <c r="A66" s="16" t="s">
        <v>1899</v>
      </c>
      <c r="B66" s="16" t="str">
        <f>IMAGE("https://lmztiles.s3.eu-west-1.amazonaws.com/Modern_Interiors_v41.3.4/1_Interiors/16x16/Theme_Sorter_Singles/9_Fishing_Singles/Fishing_Singles_66.png")</f>
        <v/>
      </c>
    </row>
    <row r="67" ht="37.5" customHeight="1">
      <c r="A67" s="16" t="s">
        <v>1900</v>
      </c>
      <c r="B67" s="16" t="str">
        <f>IMAGE("https://lmztiles.s3.eu-west-1.amazonaws.com/Modern_Interiors_v41.3.4/1_Interiors/16x16/Theme_Sorter_Singles/9_Fishing_Singles/Fishing_Singles_67.png")</f>
        <v/>
      </c>
    </row>
    <row r="68" ht="37.5" customHeight="1">
      <c r="A68" s="16" t="s">
        <v>1901</v>
      </c>
      <c r="B68" s="16" t="str">
        <f>IMAGE("https://lmztiles.s3.eu-west-1.amazonaws.com/Modern_Interiors_v41.3.4/1_Interiors/16x16/Theme_Sorter_Singles/9_Fishing_Singles/Fishing_Singles_68.png")</f>
        <v/>
      </c>
    </row>
    <row r="69" ht="37.5" customHeight="1">
      <c r="A69" s="16" t="s">
        <v>1902</v>
      </c>
      <c r="B69" s="16" t="str">
        <f>IMAGE("https://lmztiles.s3.eu-west-1.amazonaws.com/Modern_Interiors_v41.3.4/1_Interiors/16x16/Theme_Sorter_Singles/9_Fishing_Singles/Fishing_Singles_69.png")</f>
        <v/>
      </c>
    </row>
    <row r="70" ht="37.5" customHeight="1">
      <c r="A70" s="16" t="s">
        <v>1903</v>
      </c>
      <c r="B70" s="16" t="str">
        <f>IMAGE("https://lmztiles.s3.eu-west-1.amazonaws.com/Modern_Interiors_v41.3.4/1_Interiors/16x16/Theme_Sorter_Singles/9_Fishing_Singles/Fishing_Singles_70.png")</f>
        <v/>
      </c>
    </row>
    <row r="71" ht="37.5" customHeight="1">
      <c r="A71" s="16" t="s">
        <v>1904</v>
      </c>
      <c r="B71" s="16" t="str">
        <f>IMAGE("https://lmztiles.s3.eu-west-1.amazonaws.com/Modern_Interiors_v41.3.4/1_Interiors/16x16/Theme_Sorter_Singles/9_Fishing_Singles/Fishing_Singles_71.png")</f>
        <v/>
      </c>
    </row>
    <row r="72" ht="37.5" customHeight="1">
      <c r="A72" s="16" t="s">
        <v>1905</v>
      </c>
      <c r="B72" s="16" t="str">
        <f>IMAGE("https://lmztiles.s3.eu-west-1.amazonaws.com/Modern_Interiors_v41.3.4/1_Interiors/16x16/Theme_Sorter_Singles/9_Fishing_Singles/Fishing_Singles_72.png")</f>
        <v/>
      </c>
    </row>
    <row r="73" ht="37.5" customHeight="1">
      <c r="A73" s="16" t="s">
        <v>1906</v>
      </c>
      <c r="B73" s="16" t="str">
        <f>IMAGE("https://lmztiles.s3.eu-west-1.amazonaws.com/Modern_Interiors_v41.3.4/1_Interiors/16x16/Theme_Sorter_Singles/9_Fishing_Singles/Fishing_Singles_73.png")</f>
        <v/>
      </c>
    </row>
    <row r="74" ht="37.5" customHeight="1">
      <c r="A74" s="16" t="s">
        <v>1907</v>
      </c>
      <c r="B74" s="16" t="str">
        <f>IMAGE("https://lmztiles.s3.eu-west-1.amazonaws.com/Modern_Interiors_v41.3.4/1_Interiors/16x16/Theme_Sorter_Singles/9_Fishing_Singles/Fishing_Singles_74.png")</f>
        <v/>
      </c>
    </row>
    <row r="75" ht="37.5" customHeight="1">
      <c r="A75" s="16" t="s">
        <v>1908</v>
      </c>
      <c r="B75" s="16" t="str">
        <f>IMAGE("https://lmztiles.s3.eu-west-1.amazonaws.com/Modern_Interiors_v41.3.4/1_Interiors/16x16/Theme_Sorter_Singles/9_Fishing_Singles/Fishing_Singles_75.png")</f>
        <v/>
      </c>
    </row>
    <row r="76" ht="37.5" customHeight="1">
      <c r="A76" s="16" t="s">
        <v>1909</v>
      </c>
      <c r="B76" s="16" t="str">
        <f>IMAGE("https://lmztiles.s3.eu-west-1.amazonaws.com/Modern_Interiors_v41.3.4/1_Interiors/16x16/Theme_Sorter_Singles/9_Fishing_Singles/Fishing_Singles_76.png")</f>
        <v/>
      </c>
    </row>
    <row r="77" ht="37.5" customHeight="1">
      <c r="A77" s="16" t="s">
        <v>1910</v>
      </c>
      <c r="B77" s="16" t="str">
        <f>IMAGE("https://lmztiles.s3.eu-west-1.amazonaws.com/Modern_Interiors_v41.3.4/1_Interiors/16x16/Theme_Sorter_Singles/9_Fishing_Singles/Fishing_Singles_77.png")</f>
        <v/>
      </c>
    </row>
    <row r="78" ht="37.5" customHeight="1"/>
    <row r="79" ht="37.5" customHeight="1"/>
    <row r="80" ht="37.5" customHeight="1"/>
    <row r="81" ht="37.5" customHeight="1"/>
    <row r="82" ht="37.5" customHeight="1"/>
    <row r="83" ht="37.5" customHeight="1"/>
    <row r="84" ht="37.5" customHeight="1"/>
    <row r="85" ht="37.5" customHeight="1"/>
    <row r="86" ht="37.5" customHeight="1"/>
    <row r="87" ht="37.5" customHeight="1"/>
    <row r="88" ht="37.5" customHeight="1"/>
    <row r="89" ht="37.5" customHeight="1"/>
    <row r="90" ht="37.5" customHeight="1"/>
    <row r="91" ht="37.5" customHeight="1"/>
    <row r="92" ht="37.5" customHeight="1"/>
    <row r="93" ht="37.5" customHeight="1"/>
    <row r="94" ht="37.5" customHeight="1"/>
    <row r="95" ht="37.5" customHeight="1"/>
    <row r="96" ht="37.5" customHeight="1"/>
    <row r="97" ht="37.5" customHeight="1"/>
    <row r="98" ht="37.5" customHeight="1"/>
    <row r="99" ht="37.5" customHeight="1"/>
    <row r="100" ht="37.5" customHeight="1"/>
    <row r="101" ht="37.5" customHeight="1"/>
    <row r="102" ht="37.5" customHeight="1"/>
    <row r="103" ht="37.5" customHeight="1"/>
    <row r="104" ht="37.5" customHeight="1"/>
    <row r="105" ht="37.5" customHeight="1"/>
    <row r="106" ht="37.5" customHeight="1"/>
    <row r="107" ht="37.5" customHeight="1"/>
    <row r="108" ht="37.5" customHeight="1"/>
    <row r="109" ht="37.5" customHeight="1"/>
    <row r="110" ht="37.5" customHeight="1"/>
    <row r="111" ht="37.5" customHeight="1"/>
    <row r="112" ht="37.5" customHeight="1"/>
    <row r="113" ht="37.5" customHeight="1"/>
    <row r="114" ht="37.5" customHeight="1"/>
    <row r="115" ht="37.5" customHeight="1"/>
    <row r="116" ht="37.5" customHeight="1"/>
    <row r="117" ht="37.5" customHeight="1"/>
    <row r="118" ht="37.5" customHeight="1"/>
    <row r="119" ht="37.5" customHeight="1"/>
    <row r="120" ht="37.5" customHeight="1"/>
    <row r="121" ht="37.5" customHeight="1"/>
    <row r="122" ht="37.5" customHeight="1"/>
    <row r="123" ht="37.5" customHeight="1"/>
    <row r="124" ht="37.5" customHeight="1"/>
    <row r="125" ht="37.5" customHeight="1"/>
    <row r="126" ht="37.5" customHeight="1"/>
    <row r="127" ht="37.5" customHeight="1"/>
    <row r="128" ht="37.5" customHeight="1"/>
    <row r="129" ht="37.5" customHeight="1"/>
    <row r="130" ht="37.5" customHeight="1"/>
    <row r="131" ht="37.5" customHeight="1"/>
    <row r="132" ht="37.5" customHeight="1"/>
    <row r="133" ht="37.5" customHeight="1"/>
    <row r="134" ht="37.5" customHeight="1"/>
    <row r="135" ht="37.5" customHeight="1"/>
    <row r="136" ht="37.5" customHeight="1"/>
    <row r="137" ht="37.5" customHeight="1"/>
    <row r="138" ht="37.5" customHeight="1"/>
    <row r="139" ht="37.5" customHeight="1"/>
    <row r="140" ht="37.5" customHeight="1"/>
    <row r="141" ht="37.5" customHeight="1"/>
    <row r="142" ht="37.5" customHeight="1"/>
    <row r="143" ht="37.5" customHeight="1"/>
    <row r="144" ht="37.5" customHeight="1"/>
    <row r="145" ht="37.5" customHeight="1"/>
    <row r="146" ht="37.5" customHeight="1"/>
    <row r="147" ht="37.5" customHeight="1"/>
    <row r="148" ht="37.5" customHeight="1"/>
    <row r="149" ht="37.5" customHeight="1"/>
    <row r="150" ht="37.5" customHeight="1"/>
    <row r="151" ht="37.5" customHeight="1"/>
    <row r="152" ht="37.5" customHeight="1"/>
    <row r="153" ht="37.5" customHeight="1"/>
    <row r="154" ht="37.5" customHeight="1"/>
    <row r="155" ht="37.5" customHeight="1"/>
    <row r="156" ht="37.5" customHeight="1"/>
    <row r="157" ht="37.5" customHeight="1"/>
    <row r="158" ht="37.5" customHeight="1"/>
    <row r="159" ht="37.5" customHeight="1"/>
    <row r="160" ht="37.5" customHeight="1"/>
    <row r="161" ht="37.5" customHeight="1"/>
    <row r="162" ht="37.5" customHeight="1"/>
    <row r="163" ht="37.5" customHeight="1"/>
    <row r="164" ht="37.5" customHeight="1"/>
    <row r="165" ht="37.5" customHeight="1"/>
    <row r="166" ht="37.5" customHeight="1"/>
    <row r="167" ht="37.5" customHeight="1"/>
    <row r="168" ht="37.5" customHeight="1"/>
    <row r="169" ht="37.5" customHeight="1"/>
    <row r="170" ht="37.5" customHeight="1"/>
    <row r="171" ht="37.5" customHeight="1"/>
    <row r="172" ht="37.5" customHeight="1"/>
    <row r="173" ht="37.5" customHeight="1"/>
    <row r="174" ht="37.5" customHeight="1"/>
    <row r="175" ht="37.5" customHeight="1"/>
    <row r="176" ht="37.5" customHeight="1"/>
    <row r="177" ht="37.5" customHeight="1"/>
    <row r="178" ht="37.5" customHeight="1"/>
    <row r="179" ht="37.5" customHeight="1"/>
    <row r="180" ht="37.5" customHeight="1"/>
    <row r="181" ht="37.5" customHeight="1"/>
    <row r="182" ht="37.5" customHeight="1"/>
    <row r="183" ht="37.5" customHeight="1"/>
    <row r="184" ht="37.5" customHeight="1"/>
    <row r="185" ht="37.5" customHeight="1"/>
    <row r="186" ht="37.5" customHeight="1"/>
    <row r="187" ht="37.5" customHeight="1"/>
    <row r="188" ht="37.5" customHeight="1"/>
    <row r="189" ht="37.5" customHeight="1"/>
    <row r="190" ht="37.5" customHeight="1"/>
    <row r="191" ht="37.5" customHeight="1"/>
    <row r="192" ht="37.5" customHeight="1"/>
    <row r="193" ht="37.5" customHeight="1"/>
    <row r="194" ht="37.5" customHeight="1"/>
    <row r="195" ht="37.5" customHeight="1"/>
    <row r="196" ht="37.5" customHeight="1"/>
    <row r="197" ht="37.5" customHeight="1"/>
    <row r="198" ht="37.5" customHeight="1"/>
    <row r="199" ht="37.5" customHeight="1"/>
    <row r="200" ht="37.5" customHeight="1"/>
    <row r="201" ht="37.5" customHeight="1"/>
    <row r="202" ht="37.5" customHeight="1"/>
    <row r="203" ht="37.5" customHeight="1"/>
    <row r="204" ht="37.5" customHeight="1"/>
    <row r="205" ht="37.5" customHeight="1"/>
    <row r="206" ht="37.5" customHeight="1"/>
    <row r="207" ht="37.5" customHeight="1"/>
    <row r="208" ht="37.5" customHeight="1"/>
    <row r="209" ht="37.5" customHeight="1"/>
    <row r="210" ht="37.5" customHeight="1"/>
    <row r="211" ht="37.5" customHeight="1"/>
    <row r="212" ht="37.5" customHeight="1"/>
    <row r="213" ht="37.5" customHeight="1"/>
    <row r="214" ht="37.5" customHeight="1"/>
    <row r="215" ht="37.5" customHeight="1"/>
    <row r="216" ht="37.5" customHeight="1"/>
    <row r="217" ht="37.5" customHeight="1"/>
    <row r="218" ht="37.5" customHeight="1"/>
    <row r="219" ht="37.5" customHeight="1"/>
    <row r="220" ht="37.5" customHeight="1"/>
    <row r="221" ht="37.5" customHeight="1"/>
    <row r="222" ht="37.5" customHeight="1"/>
    <row r="223" ht="37.5" customHeight="1"/>
    <row r="224" ht="37.5" customHeight="1"/>
    <row r="225" ht="37.5" customHeight="1"/>
    <row r="226" ht="37.5" customHeight="1"/>
    <row r="227" ht="37.5" customHeight="1"/>
    <row r="228" ht="37.5" customHeight="1"/>
    <row r="229" ht="37.5" customHeight="1"/>
    <row r="230" ht="37.5" customHeight="1"/>
    <row r="231" ht="37.5" customHeight="1"/>
    <row r="232" ht="37.5" customHeight="1"/>
    <row r="233" ht="37.5" customHeight="1"/>
    <row r="234" ht="37.5" customHeight="1"/>
    <row r="235" ht="37.5" customHeight="1"/>
    <row r="236" ht="37.5" customHeight="1"/>
    <row r="237" ht="37.5" customHeight="1"/>
    <row r="238" ht="37.5" customHeight="1"/>
    <row r="239" ht="37.5" customHeight="1"/>
    <row r="240" ht="37.5" customHeight="1"/>
    <row r="241" ht="37.5" customHeight="1"/>
    <row r="242" ht="37.5" customHeight="1"/>
    <row r="243" ht="37.5" customHeight="1"/>
    <row r="244" ht="37.5" customHeight="1"/>
    <row r="245" ht="37.5" customHeight="1"/>
    <row r="246" ht="37.5" customHeight="1"/>
    <row r="247" ht="37.5" customHeight="1"/>
    <row r="248" ht="37.5" customHeight="1"/>
    <row r="249" ht="37.5" customHeight="1"/>
    <row r="250" ht="37.5" customHeight="1"/>
    <row r="251" ht="37.5" customHeight="1"/>
    <row r="252" ht="37.5" customHeight="1"/>
    <row r="253" ht="37.5" customHeight="1"/>
    <row r="254" ht="37.5" customHeight="1"/>
    <row r="255" ht="37.5" customHeight="1"/>
    <row r="256" ht="37.5" customHeight="1"/>
    <row r="257" ht="37.5" customHeight="1"/>
    <row r="258" ht="37.5" customHeight="1"/>
    <row r="259" ht="37.5" customHeight="1"/>
    <row r="260" ht="37.5" customHeight="1"/>
    <row r="261" ht="37.5" customHeight="1"/>
    <row r="262" ht="37.5" customHeight="1"/>
    <row r="263" ht="37.5" customHeight="1"/>
    <row r="264" ht="37.5" customHeight="1"/>
    <row r="265" ht="37.5" customHeight="1"/>
    <row r="266" ht="37.5" customHeight="1"/>
    <row r="267" ht="37.5" customHeight="1"/>
    <row r="268" ht="37.5" customHeight="1"/>
    <row r="269" ht="37.5" customHeight="1"/>
    <row r="270" ht="37.5" customHeight="1"/>
    <row r="271" ht="37.5" customHeight="1"/>
    <row r="272" ht="37.5" customHeight="1"/>
    <row r="273" ht="37.5" customHeight="1"/>
    <row r="274" ht="37.5" customHeight="1"/>
    <row r="275" ht="37.5" customHeight="1"/>
    <row r="276" ht="37.5" customHeight="1"/>
    <row r="277" ht="37.5" customHeight="1"/>
    <row r="278" ht="37.5" customHeight="1"/>
    <row r="279" ht="37.5" customHeight="1"/>
    <row r="280" ht="37.5" customHeight="1"/>
    <row r="281" ht="37.5" customHeight="1"/>
    <row r="282" ht="37.5" customHeight="1"/>
    <row r="283" ht="37.5" customHeight="1"/>
    <row r="284" ht="37.5" customHeight="1"/>
    <row r="285" ht="37.5" customHeight="1"/>
    <row r="286" ht="37.5" customHeight="1"/>
    <row r="287" ht="37.5" customHeight="1"/>
    <row r="288" ht="37.5" customHeight="1"/>
    <row r="289" ht="37.5" customHeight="1"/>
    <row r="290" ht="37.5" customHeight="1"/>
    <row r="291" ht="37.5" customHeight="1"/>
    <row r="292" ht="37.5" customHeight="1"/>
    <row r="293" ht="37.5" customHeight="1"/>
    <row r="294" ht="37.5" customHeight="1"/>
    <row r="295" ht="37.5" customHeight="1"/>
    <row r="296" ht="37.5" customHeight="1"/>
    <row r="297" ht="37.5" customHeight="1"/>
    <row r="298" ht="37.5" customHeight="1"/>
    <row r="299" ht="37.5" customHeight="1"/>
    <row r="300" ht="37.5" customHeight="1"/>
    <row r="301" ht="37.5" customHeight="1"/>
    <row r="302" ht="37.5" customHeight="1"/>
    <row r="303" ht="37.5" customHeight="1"/>
    <row r="304" ht="37.5" customHeight="1"/>
    <row r="305" ht="37.5" customHeight="1"/>
    <row r="306" ht="37.5" customHeight="1"/>
    <row r="307" ht="37.5" customHeight="1"/>
    <row r="308" ht="37.5" customHeight="1"/>
    <row r="309" ht="37.5" customHeight="1"/>
    <row r="310" ht="37.5" customHeight="1"/>
    <row r="311" ht="37.5" customHeight="1"/>
    <row r="312" ht="37.5" customHeight="1"/>
    <row r="313" ht="37.5" customHeight="1"/>
    <row r="314" ht="37.5" customHeight="1"/>
    <row r="315" ht="37.5" customHeight="1"/>
    <row r="316" ht="37.5" customHeight="1"/>
    <row r="317" ht="37.5" customHeight="1"/>
    <row r="318" ht="37.5" customHeight="1"/>
    <row r="319" ht="37.5" customHeight="1"/>
    <row r="320" ht="37.5" customHeight="1"/>
    <row r="321" ht="37.5" customHeight="1"/>
    <row r="322" ht="37.5" customHeight="1"/>
    <row r="323" ht="37.5" customHeight="1"/>
    <row r="324" ht="37.5" customHeight="1"/>
    <row r="325" ht="37.5" customHeight="1"/>
    <row r="326" ht="37.5" customHeight="1"/>
    <row r="327" ht="37.5" customHeight="1"/>
    <row r="328" ht="37.5" customHeight="1"/>
    <row r="329" ht="37.5" customHeight="1"/>
    <row r="330" ht="37.5" customHeight="1"/>
    <row r="331" ht="37.5" customHeight="1"/>
    <row r="332" ht="37.5" customHeight="1"/>
    <row r="333" ht="37.5" customHeight="1"/>
    <row r="334" ht="37.5" customHeight="1"/>
    <row r="335" ht="37.5" customHeight="1"/>
    <row r="336" ht="37.5" customHeight="1"/>
    <row r="337" ht="37.5" customHeight="1"/>
    <row r="338" ht="37.5" customHeight="1"/>
    <row r="339" ht="37.5" customHeight="1"/>
    <row r="340" ht="37.5" customHeight="1"/>
    <row r="341" ht="37.5" customHeight="1"/>
    <row r="342" ht="37.5" customHeight="1"/>
    <row r="343" ht="37.5" customHeight="1"/>
    <row r="344" ht="37.5" customHeight="1"/>
    <row r="345" ht="37.5" customHeight="1"/>
    <row r="346" ht="37.5" customHeight="1"/>
    <row r="347" ht="37.5" customHeight="1"/>
    <row r="348" ht="37.5" customHeight="1"/>
    <row r="349" ht="37.5" customHeight="1"/>
    <row r="350" ht="37.5" customHeight="1"/>
    <row r="351" ht="37.5" customHeight="1"/>
    <row r="352" ht="37.5" customHeight="1"/>
    <row r="353" ht="37.5" customHeight="1"/>
    <row r="354" ht="37.5" customHeight="1"/>
    <row r="355" ht="37.5" customHeight="1"/>
    <row r="356" ht="37.5" customHeight="1"/>
    <row r="357" ht="37.5" customHeight="1"/>
    <row r="358" ht="37.5" customHeight="1"/>
    <row r="359" ht="37.5" customHeight="1"/>
    <row r="360" ht="37.5" customHeight="1"/>
    <row r="361" ht="37.5" customHeight="1"/>
    <row r="362" ht="37.5" customHeight="1"/>
    <row r="363" ht="37.5" customHeight="1"/>
    <row r="364" ht="37.5" customHeight="1"/>
    <row r="365" ht="37.5" customHeight="1"/>
    <row r="366" ht="37.5" customHeight="1"/>
    <row r="367" ht="37.5" customHeight="1"/>
    <row r="368" ht="37.5" customHeight="1"/>
    <row r="369" ht="37.5" customHeight="1"/>
    <row r="370" ht="37.5" customHeight="1"/>
    <row r="371" ht="37.5" customHeight="1"/>
    <row r="372" ht="37.5" customHeight="1"/>
    <row r="373" ht="37.5" customHeight="1"/>
    <row r="374" ht="37.5" customHeight="1"/>
    <row r="375" ht="37.5" customHeight="1"/>
    <row r="376" ht="37.5" customHeight="1"/>
    <row r="377" ht="37.5" customHeight="1"/>
    <row r="378" ht="37.5" customHeight="1"/>
    <row r="379" ht="37.5" customHeight="1"/>
    <row r="380" ht="37.5" customHeight="1"/>
    <row r="381" ht="37.5" customHeight="1"/>
    <row r="382" ht="37.5" customHeight="1"/>
    <row r="383" ht="37.5" customHeight="1"/>
    <row r="384" ht="37.5" customHeight="1"/>
    <row r="385" ht="37.5" customHeight="1"/>
    <row r="386" ht="37.5" customHeight="1"/>
    <row r="387" ht="37.5" customHeight="1"/>
    <row r="388" ht="37.5" customHeight="1"/>
    <row r="389" ht="37.5" customHeight="1"/>
    <row r="390" ht="37.5" customHeight="1"/>
    <row r="391" ht="37.5" customHeight="1"/>
    <row r="392" ht="37.5" customHeight="1"/>
    <row r="393" ht="37.5" customHeight="1"/>
    <row r="394" ht="37.5" customHeight="1"/>
    <row r="395" ht="37.5" customHeight="1"/>
    <row r="396" ht="37.5" customHeight="1"/>
    <row r="397" ht="37.5" customHeight="1"/>
    <row r="398" ht="37.5" customHeight="1"/>
    <row r="399" ht="37.5" customHeight="1"/>
    <row r="400" ht="37.5" customHeight="1"/>
    <row r="401" ht="37.5" customHeight="1"/>
    <row r="402" ht="37.5" customHeight="1"/>
    <row r="403" ht="37.5" customHeight="1"/>
    <row r="404" ht="37.5" customHeight="1"/>
    <row r="405" ht="37.5" customHeight="1"/>
    <row r="406" ht="37.5" customHeight="1"/>
    <row r="407" ht="37.5" customHeight="1"/>
    <row r="408" ht="37.5" customHeight="1"/>
    <row r="409" ht="37.5" customHeight="1"/>
    <row r="410" ht="37.5" customHeight="1"/>
    <row r="411" ht="37.5" customHeight="1"/>
    <row r="412" ht="37.5" customHeight="1"/>
    <row r="413" ht="37.5" customHeight="1"/>
    <row r="414" ht="37.5" customHeight="1"/>
    <row r="415" ht="37.5" customHeight="1"/>
    <row r="416" ht="37.5" customHeight="1"/>
    <row r="417" ht="37.5" customHeight="1"/>
    <row r="418" ht="37.5" customHeight="1"/>
    <row r="419" ht="37.5" customHeight="1"/>
    <row r="420" ht="37.5" customHeight="1"/>
    <row r="421" ht="37.5" customHeight="1"/>
    <row r="422" ht="37.5" customHeight="1"/>
    <row r="423" ht="37.5" customHeight="1"/>
    <row r="424" ht="37.5" customHeight="1"/>
    <row r="425" ht="37.5" customHeight="1"/>
    <row r="426" ht="37.5" customHeight="1"/>
    <row r="427" ht="37.5" customHeight="1"/>
    <row r="428" ht="37.5" customHeight="1"/>
    <row r="429" ht="37.5" customHeight="1"/>
    <row r="430" ht="37.5" customHeight="1"/>
    <row r="431" ht="37.5" customHeight="1"/>
    <row r="432" ht="37.5" customHeight="1"/>
    <row r="433" ht="37.5" customHeight="1"/>
    <row r="434" ht="37.5" customHeight="1"/>
    <row r="435" ht="37.5" customHeight="1"/>
    <row r="436" ht="37.5" customHeight="1"/>
    <row r="437" ht="37.5" customHeight="1"/>
    <row r="438" ht="37.5" customHeight="1"/>
    <row r="439" ht="37.5" customHeight="1"/>
    <row r="440" ht="37.5" customHeight="1"/>
    <row r="441" ht="37.5" customHeight="1"/>
    <row r="442" ht="37.5" customHeight="1"/>
    <row r="443" ht="37.5" customHeight="1"/>
    <row r="444" ht="37.5" customHeight="1"/>
    <row r="445" ht="37.5" customHeight="1"/>
    <row r="446" ht="37.5" customHeight="1"/>
    <row r="447" ht="37.5" customHeight="1"/>
    <row r="448" ht="37.5" customHeight="1"/>
    <row r="449" ht="37.5" customHeight="1"/>
    <row r="450" ht="37.5" customHeight="1"/>
    <row r="451" ht="37.5" customHeight="1"/>
    <row r="452" ht="37.5" customHeight="1"/>
    <row r="453" ht="37.5" customHeight="1"/>
    <row r="454" ht="37.5" customHeight="1"/>
    <row r="455" ht="37.5" customHeight="1"/>
    <row r="456" ht="37.5" customHeight="1"/>
    <row r="457" ht="37.5" customHeight="1"/>
    <row r="458" ht="37.5" customHeight="1"/>
    <row r="459" ht="37.5" customHeight="1"/>
    <row r="460" ht="37.5" customHeight="1"/>
    <row r="461" ht="37.5" customHeight="1"/>
    <row r="462" ht="37.5" customHeight="1"/>
    <row r="463" ht="37.5" customHeight="1"/>
    <row r="464" ht="37.5" customHeight="1"/>
    <row r="465" ht="37.5" customHeight="1"/>
    <row r="466" ht="37.5" customHeight="1"/>
    <row r="467" ht="37.5" customHeight="1"/>
    <row r="468" ht="37.5" customHeight="1"/>
    <row r="469" ht="37.5" customHeight="1"/>
    <row r="470" ht="37.5" customHeight="1"/>
    <row r="471" ht="37.5" customHeight="1"/>
    <row r="472" ht="37.5" customHeight="1"/>
    <row r="473" ht="37.5" customHeight="1"/>
    <row r="474" ht="37.5" customHeight="1"/>
    <row r="475" ht="37.5" customHeight="1"/>
    <row r="476" ht="37.5" customHeight="1"/>
    <row r="477" ht="37.5" customHeight="1"/>
    <row r="478" ht="37.5" customHeight="1"/>
    <row r="479" ht="37.5" customHeight="1"/>
    <row r="480" ht="37.5" customHeight="1"/>
    <row r="481" ht="37.5" customHeight="1"/>
    <row r="482" ht="37.5" customHeight="1"/>
    <row r="483" ht="37.5" customHeight="1"/>
    <row r="484" ht="37.5" customHeight="1"/>
    <row r="485" ht="37.5" customHeight="1"/>
    <row r="486" ht="37.5" customHeight="1"/>
    <row r="487" ht="37.5" customHeight="1"/>
    <row r="488" ht="37.5" customHeight="1"/>
    <row r="489" ht="37.5" customHeight="1"/>
    <row r="490" ht="37.5" customHeight="1"/>
    <row r="491" ht="37.5" customHeight="1"/>
    <row r="492" ht="37.5" customHeight="1"/>
    <row r="493" ht="37.5" customHeight="1"/>
    <row r="494" ht="37.5" customHeight="1"/>
    <row r="495" ht="37.5" customHeight="1"/>
    <row r="496" ht="37.5" customHeight="1"/>
    <row r="497" ht="37.5" customHeight="1"/>
    <row r="498" ht="37.5" customHeight="1"/>
    <row r="499" ht="37.5" customHeight="1"/>
    <row r="500" ht="37.5" customHeight="1"/>
    <row r="501" ht="37.5" customHeight="1"/>
    <row r="502" ht="37.5" customHeight="1"/>
    <row r="503" ht="37.5" customHeight="1"/>
    <row r="504" ht="37.5" customHeight="1"/>
    <row r="505" ht="37.5" customHeight="1"/>
    <row r="506" ht="37.5" customHeight="1"/>
    <row r="507" ht="37.5" customHeight="1"/>
    <row r="508" ht="37.5" customHeight="1"/>
    <row r="509" ht="37.5" customHeight="1"/>
    <row r="510" ht="37.5" customHeight="1"/>
    <row r="511" ht="37.5" customHeight="1"/>
    <row r="512" ht="37.5" customHeight="1"/>
    <row r="513" ht="37.5" customHeight="1"/>
    <row r="514" ht="37.5" customHeight="1"/>
    <row r="515" ht="37.5" customHeight="1"/>
    <row r="516" ht="37.5" customHeight="1"/>
    <row r="517" ht="37.5" customHeight="1"/>
    <row r="518" ht="37.5" customHeight="1"/>
    <row r="519" ht="37.5" customHeight="1"/>
    <row r="520" ht="37.5" customHeight="1"/>
    <row r="521" ht="37.5" customHeight="1"/>
    <row r="522" ht="37.5" customHeight="1"/>
    <row r="523" ht="37.5" customHeight="1"/>
    <row r="524" ht="37.5" customHeight="1"/>
    <row r="525" ht="37.5" customHeight="1"/>
    <row r="526" ht="37.5" customHeight="1"/>
    <row r="527" ht="37.5" customHeight="1"/>
    <row r="528" ht="37.5" customHeight="1"/>
    <row r="529" ht="37.5" customHeight="1"/>
    <row r="530" ht="37.5" customHeight="1"/>
    <row r="531" ht="37.5" customHeight="1"/>
    <row r="532" ht="37.5" customHeight="1"/>
    <row r="533" ht="37.5" customHeight="1"/>
    <row r="534" ht="37.5" customHeight="1"/>
    <row r="535" ht="37.5" customHeight="1"/>
    <row r="536" ht="37.5" customHeight="1"/>
    <row r="537" ht="37.5" customHeight="1"/>
    <row r="538" ht="37.5" customHeight="1"/>
    <row r="539" ht="37.5" customHeight="1"/>
    <row r="540" ht="37.5" customHeight="1"/>
    <row r="541" ht="37.5" customHeight="1"/>
    <row r="542" ht="37.5" customHeight="1"/>
    <row r="543" ht="37.5" customHeight="1"/>
    <row r="544" ht="37.5" customHeight="1"/>
    <row r="545" ht="37.5" customHeight="1"/>
    <row r="546" ht="37.5" customHeight="1"/>
    <row r="547" ht="37.5" customHeight="1"/>
    <row r="548" ht="37.5" customHeight="1"/>
    <row r="549" ht="37.5" customHeight="1"/>
    <row r="550" ht="37.5" customHeight="1"/>
    <row r="551" ht="37.5" customHeight="1"/>
    <row r="552" ht="37.5" customHeight="1"/>
    <row r="553" ht="37.5" customHeight="1"/>
    <row r="554" ht="37.5" customHeight="1"/>
    <row r="555" ht="37.5" customHeight="1"/>
    <row r="556" ht="37.5" customHeight="1"/>
    <row r="557" ht="37.5" customHeight="1"/>
    <row r="558" ht="37.5" customHeight="1"/>
    <row r="559" ht="37.5" customHeight="1"/>
    <row r="560" ht="37.5" customHeight="1"/>
    <row r="561" ht="37.5" customHeight="1"/>
    <row r="562" ht="37.5" customHeight="1"/>
    <row r="563" ht="37.5" customHeight="1"/>
    <row r="564" ht="37.5" customHeight="1"/>
    <row r="565" ht="37.5" customHeight="1"/>
    <row r="566" ht="37.5" customHeight="1"/>
    <row r="567" ht="37.5" customHeight="1"/>
    <row r="568" ht="37.5" customHeight="1"/>
    <row r="569" ht="37.5" customHeight="1"/>
    <row r="570" ht="37.5" customHeight="1"/>
    <row r="571" ht="37.5" customHeight="1"/>
    <row r="572" ht="37.5" customHeight="1"/>
    <row r="573" ht="37.5" customHeight="1"/>
    <row r="574" ht="37.5" customHeight="1"/>
    <row r="575" ht="37.5" customHeight="1"/>
    <row r="576" ht="37.5" customHeight="1"/>
    <row r="577" ht="37.5" customHeight="1"/>
    <row r="578" ht="37.5" customHeight="1"/>
    <row r="579" ht="37.5" customHeight="1"/>
    <row r="580" ht="37.5" customHeight="1"/>
    <row r="581" ht="37.5" customHeight="1"/>
    <row r="582" ht="37.5" customHeight="1"/>
    <row r="583" ht="37.5" customHeight="1"/>
    <row r="584" ht="37.5" customHeight="1"/>
    <row r="585" ht="37.5" customHeight="1"/>
    <row r="586" ht="37.5" customHeight="1"/>
    <row r="587" ht="37.5" customHeight="1"/>
    <row r="588" ht="37.5" customHeight="1"/>
    <row r="589" ht="37.5" customHeight="1"/>
    <row r="590" ht="37.5" customHeight="1"/>
    <row r="591" ht="37.5" customHeight="1"/>
    <row r="592" ht="37.5" customHeight="1"/>
    <row r="593" ht="37.5" customHeight="1"/>
    <row r="594" ht="37.5" customHeight="1"/>
    <row r="595" ht="37.5" customHeight="1"/>
    <row r="596" ht="37.5" customHeight="1"/>
    <row r="597" ht="37.5" customHeight="1"/>
    <row r="598" ht="37.5" customHeight="1"/>
    <row r="599" ht="37.5" customHeight="1"/>
    <row r="600" ht="37.5" customHeight="1"/>
    <row r="601" ht="37.5" customHeight="1"/>
    <row r="602" ht="37.5" customHeight="1"/>
    <row r="603" ht="37.5" customHeight="1"/>
    <row r="604" ht="37.5" customHeight="1"/>
    <row r="605" ht="37.5" customHeight="1"/>
    <row r="606" ht="37.5" customHeight="1"/>
    <row r="607" ht="37.5" customHeight="1"/>
    <row r="608" ht="37.5" customHeight="1"/>
    <row r="609" ht="37.5" customHeight="1"/>
    <row r="610" ht="37.5" customHeight="1"/>
    <row r="611" ht="37.5" customHeight="1"/>
    <row r="612" ht="37.5" customHeight="1"/>
    <row r="613" ht="37.5" customHeight="1"/>
    <row r="614" ht="37.5" customHeight="1"/>
    <row r="615" ht="37.5" customHeight="1"/>
    <row r="616" ht="37.5" customHeight="1"/>
    <row r="617" ht="37.5" customHeight="1"/>
    <row r="618" ht="37.5" customHeight="1"/>
    <row r="619" ht="37.5" customHeight="1"/>
    <row r="620" ht="37.5" customHeight="1"/>
    <row r="621" ht="37.5" customHeight="1"/>
    <row r="622" ht="37.5" customHeight="1"/>
    <row r="623" ht="37.5" customHeight="1"/>
    <row r="624" ht="37.5" customHeight="1"/>
    <row r="625" ht="37.5" customHeight="1"/>
    <row r="626" ht="37.5" customHeight="1"/>
    <row r="627" ht="37.5" customHeight="1"/>
    <row r="628" ht="37.5" customHeight="1"/>
    <row r="629" ht="37.5" customHeight="1"/>
    <row r="630" ht="37.5" customHeight="1"/>
    <row r="631" ht="37.5" customHeight="1"/>
    <row r="632" ht="37.5" customHeight="1"/>
    <row r="633" ht="37.5" customHeight="1"/>
    <row r="634" ht="37.5" customHeight="1"/>
    <row r="635" ht="37.5" customHeight="1"/>
    <row r="636" ht="37.5" customHeight="1"/>
    <row r="637" ht="37.5" customHeight="1"/>
    <row r="638" ht="37.5" customHeight="1"/>
    <row r="639" ht="37.5" customHeight="1"/>
    <row r="640" ht="37.5" customHeight="1"/>
    <row r="641" ht="37.5" customHeight="1"/>
    <row r="642" ht="37.5" customHeight="1"/>
    <row r="643" ht="37.5" customHeight="1"/>
    <row r="644" ht="37.5" customHeight="1"/>
    <row r="645" ht="37.5" customHeight="1"/>
    <row r="646" ht="37.5" customHeight="1"/>
    <row r="647" ht="37.5" customHeight="1"/>
    <row r="648" ht="37.5" customHeight="1"/>
    <row r="649" ht="37.5" customHeight="1"/>
    <row r="650" ht="37.5" customHeight="1"/>
    <row r="651" ht="37.5" customHeight="1"/>
    <row r="652" ht="37.5" customHeight="1"/>
    <row r="653" ht="37.5" customHeight="1"/>
    <row r="654" ht="37.5" customHeight="1"/>
    <row r="655" ht="37.5" customHeight="1"/>
    <row r="656" ht="37.5" customHeight="1"/>
    <row r="657" ht="37.5" customHeight="1"/>
    <row r="658" ht="37.5" customHeight="1"/>
    <row r="659" ht="37.5" customHeight="1"/>
    <row r="660" ht="37.5" customHeight="1"/>
    <row r="661" ht="37.5" customHeight="1"/>
    <row r="662" ht="37.5" customHeight="1"/>
    <row r="663" ht="37.5" customHeight="1"/>
    <row r="664" ht="37.5" customHeight="1"/>
    <row r="665" ht="37.5" customHeight="1"/>
    <row r="666" ht="37.5" customHeight="1"/>
    <row r="667" ht="37.5" customHeight="1"/>
    <row r="668" ht="37.5" customHeight="1"/>
    <row r="669" ht="37.5" customHeight="1"/>
    <row r="670" ht="37.5" customHeight="1"/>
    <row r="671" ht="37.5" customHeight="1"/>
    <row r="672" ht="37.5" customHeight="1"/>
    <row r="673" ht="37.5" customHeight="1"/>
    <row r="674" ht="37.5" customHeight="1"/>
    <row r="675" ht="37.5" customHeight="1"/>
    <row r="676" ht="37.5" customHeight="1"/>
    <row r="677" ht="37.5" customHeight="1"/>
    <row r="678" ht="37.5" customHeight="1"/>
    <row r="679" ht="37.5" customHeight="1"/>
    <row r="680" ht="37.5" customHeight="1"/>
    <row r="681" ht="37.5" customHeight="1"/>
    <row r="682" ht="37.5" customHeight="1"/>
    <row r="683" ht="37.5" customHeight="1"/>
    <row r="684" ht="37.5" customHeight="1"/>
    <row r="685" ht="37.5" customHeight="1"/>
    <row r="686" ht="37.5" customHeight="1"/>
    <row r="687" ht="37.5" customHeight="1"/>
    <row r="688" ht="37.5" customHeight="1"/>
    <row r="689" ht="37.5" customHeight="1"/>
    <row r="690" ht="37.5" customHeight="1"/>
    <row r="691" ht="37.5" customHeight="1"/>
    <row r="692" ht="37.5" customHeight="1"/>
    <row r="693" ht="37.5" customHeight="1"/>
    <row r="694" ht="37.5" customHeight="1"/>
    <row r="695" ht="37.5" customHeight="1"/>
    <row r="696" ht="37.5" customHeight="1"/>
    <row r="697" ht="37.5" customHeight="1"/>
    <row r="698" ht="37.5" customHeight="1"/>
    <row r="699" ht="37.5" customHeight="1"/>
    <row r="700" ht="37.5" customHeight="1"/>
    <row r="701" ht="37.5" customHeight="1"/>
    <row r="702" ht="37.5" customHeight="1"/>
    <row r="703" ht="37.5" customHeight="1"/>
    <row r="704" ht="37.5" customHeight="1"/>
    <row r="705" ht="37.5" customHeight="1"/>
    <row r="706" ht="37.5" customHeight="1"/>
    <row r="707" ht="37.5" customHeight="1"/>
    <row r="708" ht="37.5" customHeight="1"/>
    <row r="709" ht="37.5" customHeight="1"/>
    <row r="710" ht="37.5" customHeight="1"/>
    <row r="711" ht="37.5" customHeight="1"/>
    <row r="712" ht="37.5" customHeight="1"/>
    <row r="713" ht="37.5" customHeight="1"/>
    <row r="714" ht="37.5" customHeight="1"/>
    <row r="715" ht="37.5" customHeight="1"/>
    <row r="716" ht="37.5" customHeight="1"/>
    <row r="717" ht="37.5" customHeight="1"/>
    <row r="718" ht="37.5" customHeight="1"/>
    <row r="719" ht="37.5" customHeight="1"/>
    <row r="720" ht="37.5" customHeight="1"/>
    <row r="721" ht="37.5" customHeight="1"/>
    <row r="722" ht="37.5" customHeight="1"/>
    <row r="723" ht="37.5" customHeight="1"/>
    <row r="724" ht="37.5" customHeight="1"/>
    <row r="725" ht="37.5" customHeight="1"/>
    <row r="726" ht="37.5" customHeight="1"/>
    <row r="727" ht="37.5" customHeight="1"/>
    <row r="728" ht="37.5" customHeight="1"/>
    <row r="729" ht="37.5" customHeight="1"/>
    <row r="730" ht="37.5" customHeight="1"/>
    <row r="731" ht="37.5" customHeight="1"/>
    <row r="732" ht="37.5" customHeight="1"/>
    <row r="733" ht="37.5" customHeight="1"/>
    <row r="734" ht="37.5" customHeight="1"/>
    <row r="735" ht="37.5" customHeight="1"/>
    <row r="736" ht="37.5" customHeight="1"/>
    <row r="737" ht="37.5" customHeight="1"/>
    <row r="738" ht="37.5" customHeight="1"/>
    <row r="739" ht="37.5" customHeight="1"/>
    <row r="740" ht="37.5" customHeight="1"/>
    <row r="741" ht="37.5" customHeight="1"/>
    <row r="742" ht="37.5" customHeight="1"/>
    <row r="743" ht="37.5" customHeight="1"/>
    <row r="744" ht="37.5" customHeight="1"/>
    <row r="745" ht="37.5" customHeight="1"/>
    <row r="746" ht="37.5" customHeight="1"/>
    <row r="747" ht="37.5" customHeight="1"/>
    <row r="748" ht="37.5" customHeight="1"/>
    <row r="749" ht="37.5" customHeight="1"/>
    <row r="750" ht="37.5" customHeight="1"/>
    <row r="751" ht="37.5" customHeight="1"/>
    <row r="752" ht="37.5" customHeight="1"/>
    <row r="753" ht="37.5" customHeight="1"/>
    <row r="754" ht="37.5" customHeight="1"/>
    <row r="755" ht="37.5" customHeight="1"/>
    <row r="756" ht="37.5" customHeight="1"/>
    <row r="757" ht="37.5" customHeight="1"/>
    <row r="758" ht="37.5" customHeight="1"/>
    <row r="759" ht="37.5" customHeight="1"/>
    <row r="760" ht="37.5" customHeight="1"/>
    <row r="761" ht="37.5" customHeight="1"/>
    <row r="762" ht="37.5" customHeight="1"/>
    <row r="763" ht="37.5" customHeight="1"/>
    <row r="764" ht="37.5" customHeight="1"/>
    <row r="765" ht="37.5" customHeight="1"/>
    <row r="766" ht="37.5" customHeight="1"/>
    <row r="767" ht="37.5" customHeight="1"/>
    <row r="768" ht="37.5" customHeight="1"/>
    <row r="769" ht="37.5" customHeight="1"/>
    <row r="770" ht="37.5" customHeight="1"/>
    <row r="771" ht="37.5" customHeight="1"/>
    <row r="772" ht="37.5" customHeight="1"/>
    <row r="773" ht="37.5" customHeight="1"/>
    <row r="774" ht="37.5" customHeight="1"/>
    <row r="775" ht="37.5" customHeight="1"/>
    <row r="776" ht="37.5" customHeight="1"/>
    <row r="777" ht="37.5" customHeight="1"/>
    <row r="778" ht="37.5" customHeight="1"/>
    <row r="779" ht="37.5" customHeight="1"/>
    <row r="780" ht="37.5" customHeight="1"/>
    <row r="781" ht="37.5" customHeight="1"/>
    <row r="782" ht="37.5" customHeight="1"/>
    <row r="783" ht="37.5" customHeight="1"/>
    <row r="784" ht="37.5" customHeight="1"/>
    <row r="785" ht="37.5" customHeight="1"/>
    <row r="786" ht="37.5" customHeight="1"/>
    <row r="787" ht="37.5" customHeight="1"/>
    <row r="788" ht="37.5" customHeight="1"/>
    <row r="789" ht="37.5" customHeight="1"/>
    <row r="790" ht="37.5" customHeight="1"/>
    <row r="791" ht="37.5" customHeight="1"/>
    <row r="792" ht="37.5" customHeight="1"/>
    <row r="793" ht="37.5" customHeight="1"/>
    <row r="794" ht="37.5" customHeight="1"/>
    <row r="795" ht="37.5" customHeight="1"/>
    <row r="796" ht="37.5" customHeight="1"/>
    <row r="797" ht="37.5" customHeight="1"/>
    <row r="798" ht="37.5" customHeight="1"/>
    <row r="799" ht="37.5" customHeight="1"/>
    <row r="800" ht="37.5" customHeight="1"/>
    <row r="801" ht="37.5" customHeight="1"/>
    <row r="802" ht="37.5" customHeight="1"/>
    <row r="803" ht="37.5" customHeight="1"/>
    <row r="804" ht="37.5" customHeight="1"/>
    <row r="805" ht="37.5" customHeight="1"/>
    <row r="806" ht="37.5" customHeight="1"/>
    <row r="807" ht="37.5" customHeight="1"/>
    <row r="808" ht="37.5" customHeight="1"/>
    <row r="809" ht="37.5" customHeight="1"/>
    <row r="810" ht="37.5" customHeight="1"/>
    <row r="811" ht="37.5" customHeight="1"/>
    <row r="812" ht="37.5" customHeight="1"/>
    <row r="813" ht="37.5" customHeight="1"/>
    <row r="814" ht="37.5" customHeight="1"/>
    <row r="815" ht="37.5" customHeight="1"/>
    <row r="816" ht="37.5" customHeight="1"/>
    <row r="817" ht="37.5" customHeight="1"/>
    <row r="818" ht="37.5" customHeight="1"/>
    <row r="819" ht="37.5" customHeight="1"/>
    <row r="820" ht="37.5" customHeight="1"/>
    <row r="821" ht="37.5" customHeight="1"/>
    <row r="822" ht="37.5" customHeight="1"/>
    <row r="823" ht="37.5" customHeight="1"/>
    <row r="824" ht="37.5" customHeight="1"/>
    <row r="825" ht="37.5" customHeight="1"/>
    <row r="826" ht="37.5" customHeight="1"/>
    <row r="827" ht="37.5" customHeight="1"/>
    <row r="828" ht="37.5" customHeight="1"/>
    <row r="829" ht="37.5" customHeight="1"/>
    <row r="830" ht="37.5" customHeight="1"/>
    <row r="831" ht="37.5" customHeight="1"/>
    <row r="832" ht="37.5" customHeight="1"/>
    <row r="833" ht="37.5" customHeight="1"/>
    <row r="834" ht="37.5" customHeight="1"/>
    <row r="835" ht="37.5" customHeight="1"/>
    <row r="836" ht="37.5" customHeight="1"/>
    <row r="837" ht="37.5" customHeight="1"/>
    <row r="838" ht="37.5" customHeight="1"/>
    <row r="839" ht="37.5" customHeight="1"/>
    <row r="840" ht="37.5" customHeight="1"/>
    <row r="841" ht="37.5" customHeight="1"/>
    <row r="842" ht="37.5" customHeight="1"/>
    <row r="843" ht="37.5" customHeight="1"/>
    <row r="844" ht="37.5" customHeight="1"/>
    <row r="845" ht="37.5" customHeight="1"/>
    <row r="846" ht="37.5" customHeight="1"/>
    <row r="847" ht="37.5" customHeight="1"/>
    <row r="848" ht="37.5" customHeight="1"/>
    <row r="849" ht="37.5" customHeight="1"/>
    <row r="850" ht="37.5" customHeight="1"/>
    <row r="851" ht="37.5" customHeight="1"/>
    <row r="852" ht="37.5" customHeight="1"/>
    <row r="853" ht="37.5" customHeight="1"/>
    <row r="854" ht="37.5" customHeight="1"/>
    <row r="855" ht="37.5" customHeight="1"/>
    <row r="856" ht="37.5" customHeight="1"/>
    <row r="857" ht="37.5" customHeight="1"/>
    <row r="858" ht="37.5" customHeight="1"/>
    <row r="859" ht="37.5" customHeight="1"/>
    <row r="860" ht="37.5" customHeight="1"/>
    <row r="861" ht="37.5" customHeight="1"/>
    <row r="862" ht="37.5" customHeight="1"/>
    <row r="863" ht="37.5" customHeight="1"/>
    <row r="864" ht="37.5" customHeight="1"/>
    <row r="865" ht="37.5" customHeight="1"/>
    <row r="866" ht="37.5" customHeight="1"/>
    <row r="867" ht="37.5" customHeight="1"/>
    <row r="868" ht="37.5" customHeight="1"/>
    <row r="869" ht="37.5" customHeight="1"/>
    <row r="870" ht="37.5" customHeight="1"/>
    <row r="871" ht="37.5" customHeight="1"/>
    <row r="872" ht="37.5" customHeight="1"/>
    <row r="873" ht="37.5" customHeight="1"/>
    <row r="874" ht="37.5" customHeight="1"/>
    <row r="875" ht="37.5" customHeight="1"/>
    <row r="876" ht="37.5" customHeight="1"/>
    <row r="877" ht="37.5" customHeight="1"/>
    <row r="878" ht="37.5" customHeight="1"/>
    <row r="879" ht="37.5" customHeight="1"/>
    <row r="880" ht="37.5" customHeight="1"/>
    <row r="881" ht="37.5" customHeight="1"/>
    <row r="882" ht="37.5" customHeight="1"/>
    <row r="883" ht="37.5" customHeight="1"/>
    <row r="884" ht="37.5" customHeight="1"/>
    <row r="885" ht="37.5" customHeight="1"/>
    <row r="886" ht="37.5" customHeight="1"/>
    <row r="887" ht="37.5" customHeight="1"/>
    <row r="888" ht="37.5" customHeight="1"/>
    <row r="889" ht="37.5" customHeight="1"/>
    <row r="890" ht="37.5" customHeight="1"/>
    <row r="891" ht="37.5" customHeight="1"/>
    <row r="892" ht="37.5" customHeight="1"/>
    <row r="893" ht="37.5" customHeight="1"/>
    <row r="894" ht="37.5" customHeight="1"/>
    <row r="895" ht="37.5" customHeight="1"/>
    <row r="896" ht="37.5" customHeight="1"/>
    <row r="897" ht="37.5" customHeight="1"/>
    <row r="898" ht="37.5" customHeight="1"/>
    <row r="899" ht="37.5" customHeight="1"/>
    <row r="900" ht="37.5" customHeight="1"/>
    <row r="901" ht="37.5" customHeight="1"/>
    <row r="902" ht="37.5" customHeight="1"/>
    <row r="903" ht="37.5" customHeight="1"/>
    <row r="904" ht="37.5" customHeight="1"/>
    <row r="905" ht="37.5" customHeight="1"/>
    <row r="906" ht="37.5" customHeight="1"/>
    <row r="907" ht="37.5" customHeight="1"/>
    <row r="908" ht="37.5" customHeight="1"/>
    <row r="909" ht="37.5" customHeight="1"/>
    <row r="910" ht="37.5" customHeight="1"/>
    <row r="911" ht="37.5" customHeight="1"/>
    <row r="912" ht="37.5" customHeight="1"/>
    <row r="913" ht="37.5" customHeight="1"/>
    <row r="914" ht="37.5" customHeight="1"/>
    <row r="915" ht="37.5" customHeight="1"/>
    <row r="916" ht="37.5" customHeight="1"/>
    <row r="917" ht="37.5" customHeight="1"/>
    <row r="918" ht="37.5" customHeight="1"/>
    <row r="919" ht="37.5" customHeight="1"/>
    <row r="920" ht="37.5" customHeight="1"/>
    <row r="921" ht="37.5" customHeight="1"/>
    <row r="922" ht="37.5" customHeight="1"/>
    <row r="923" ht="37.5" customHeight="1"/>
    <row r="924" ht="37.5" customHeight="1"/>
    <row r="925" ht="37.5" customHeight="1"/>
    <row r="926" ht="37.5" customHeight="1"/>
    <row r="927" ht="37.5" customHeight="1"/>
    <row r="928" ht="37.5" customHeight="1"/>
    <row r="929" ht="37.5" customHeight="1"/>
    <row r="930" ht="37.5" customHeight="1"/>
    <row r="931" ht="37.5" customHeight="1"/>
    <row r="932" ht="37.5" customHeight="1"/>
    <row r="933" ht="37.5" customHeight="1"/>
    <row r="934" ht="37.5" customHeight="1"/>
    <row r="935" ht="37.5" customHeight="1"/>
    <row r="936" ht="37.5" customHeight="1"/>
    <row r="937" ht="37.5" customHeight="1"/>
    <row r="938" ht="37.5" customHeight="1"/>
    <row r="939" ht="37.5" customHeight="1"/>
    <row r="940" ht="37.5" customHeight="1"/>
    <row r="941" ht="37.5" customHeight="1"/>
    <row r="942" ht="37.5" customHeight="1"/>
    <row r="943" ht="37.5" customHeight="1"/>
    <row r="944" ht="37.5" customHeight="1"/>
    <row r="945" ht="37.5" customHeight="1"/>
    <row r="946" ht="37.5" customHeight="1"/>
    <row r="947" ht="37.5" customHeight="1"/>
    <row r="948" ht="37.5" customHeight="1"/>
    <row r="949" ht="37.5" customHeight="1"/>
    <row r="950" ht="37.5" customHeight="1"/>
    <row r="951" ht="37.5" customHeight="1"/>
    <row r="952" ht="37.5" customHeight="1"/>
    <row r="953" ht="37.5" customHeight="1"/>
    <row r="954" ht="37.5" customHeight="1"/>
    <row r="955" ht="37.5" customHeight="1"/>
    <row r="956" ht="37.5" customHeight="1"/>
    <row r="957" ht="37.5" customHeight="1"/>
    <row r="958" ht="37.5" customHeight="1"/>
    <row r="959" ht="37.5" customHeight="1"/>
    <row r="960" ht="37.5" customHeight="1"/>
    <row r="961" ht="37.5" customHeight="1"/>
    <row r="962" ht="37.5" customHeight="1"/>
    <row r="963" ht="37.5" customHeight="1"/>
    <row r="964" ht="37.5" customHeight="1"/>
    <row r="965" ht="37.5" customHeight="1"/>
    <row r="966" ht="37.5" customHeight="1"/>
    <row r="967" ht="37.5" customHeight="1"/>
    <row r="968" ht="37.5" customHeight="1"/>
    <row r="969" ht="37.5" customHeight="1"/>
    <row r="970" ht="37.5" customHeight="1"/>
    <row r="971" ht="37.5" customHeight="1"/>
    <row r="972" ht="37.5" customHeight="1"/>
    <row r="973" ht="37.5" customHeight="1"/>
    <row r="974" ht="37.5" customHeight="1"/>
    <row r="975" ht="37.5" customHeight="1"/>
    <row r="976" ht="37.5" customHeight="1"/>
    <row r="977" ht="37.5" customHeight="1"/>
    <row r="978" ht="37.5" customHeight="1"/>
    <row r="979" ht="37.5" customHeight="1"/>
    <row r="980" ht="37.5" customHeight="1"/>
    <row r="981" ht="37.5" customHeight="1"/>
    <row r="982" ht="37.5" customHeight="1"/>
    <row r="983" ht="37.5" customHeight="1"/>
    <row r="984" ht="37.5" customHeight="1"/>
    <row r="985" ht="37.5" customHeight="1"/>
    <row r="986" ht="37.5" customHeight="1"/>
    <row r="987" ht="37.5" customHeight="1"/>
    <row r="988" ht="37.5" customHeight="1"/>
    <row r="989" ht="37.5" customHeight="1"/>
    <row r="990" ht="37.5" customHeight="1"/>
    <row r="991" ht="37.5" customHeight="1"/>
    <row r="992" ht="37.5" customHeight="1"/>
    <row r="993" ht="37.5" customHeight="1"/>
    <row r="994" ht="37.5" customHeight="1"/>
    <row r="995" ht="37.5" customHeight="1"/>
    <row r="996" ht="37.5" customHeight="1"/>
    <row r="997" ht="37.5" customHeight="1"/>
    <row r="998" ht="37.5" customHeight="1"/>
    <row r="999" ht="37.5" customHeight="1"/>
    <row r="1000" ht="37.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2023-03-30T19:42:41Z</dcterms:created>
  <dc:creator>openpyxl</dc:creator>
</cp:coreProperties>
</file>